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912F945B-B4B4-411A-AFEA-E8B32F156213}" xr6:coauthVersionLast="37" xr6:coauthVersionMax="45" xr10:uidLastSave="{00000000-0000-0000-0000-000000000000}"/>
  <bookViews>
    <workbookView xWindow="0" yWindow="0" windowWidth="24000" windowHeight="9525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79021"/>
</workbook>
</file>

<file path=xl/calcChain.xml><?xml version="1.0" encoding="utf-8"?>
<calcChain xmlns="http://schemas.openxmlformats.org/spreadsheetml/2006/main">
  <c r="J677" i="15" l="1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O648" i="15" s="1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1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O330" i="15"/>
  <c r="N330" i="15"/>
  <c r="M330" i="15"/>
  <c r="P330" i="15" s="1"/>
  <c r="L330" i="15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O313" i="15"/>
  <c r="P311" i="15"/>
  <c r="O311" i="15"/>
  <c r="N311" i="15"/>
  <c r="M311" i="15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L296" i="15"/>
  <c r="L295" i="15"/>
  <c r="N294" i="15"/>
  <c r="M294" i="15"/>
  <c r="O293" i="15"/>
  <c r="P291" i="15"/>
  <c r="N291" i="15"/>
  <c r="M291" i="15"/>
  <c r="L291" i="15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L277" i="15"/>
  <c r="L276" i="15"/>
  <c r="N275" i="15"/>
  <c r="M275" i="15"/>
  <c r="O274" i="15"/>
  <c r="N272" i="15"/>
  <c r="M272" i="15"/>
  <c r="L272" i="15"/>
  <c r="O272" i="15" s="1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L256" i="15"/>
  <c r="L255" i="15"/>
  <c r="N254" i="15"/>
  <c r="M254" i="15"/>
  <c r="M252" i="15" s="1"/>
  <c r="O253" i="15"/>
  <c r="N251" i="15"/>
  <c r="M251" i="15"/>
  <c r="L251" i="15"/>
  <c r="O251" i="15" s="1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M142" i="15" s="1"/>
  <c r="M140" i="15" s="1"/>
  <c r="O143" i="15"/>
  <c r="P141" i="15"/>
  <c r="O141" i="15"/>
  <c r="N141" i="15"/>
  <c r="M141" i="15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M118" i="15" s="1"/>
  <c r="O121" i="15"/>
  <c r="P119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P98" i="15" s="1"/>
  <c r="O97" i="15"/>
  <c r="O95" i="15"/>
  <c r="N95" i="15"/>
  <c r="M95" i="15"/>
  <c r="L95" i="15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P70" i="15" s="1"/>
  <c r="O69" i="15"/>
  <c r="O67" i="15"/>
  <c r="N67" i="15"/>
  <c r="M67" i="15"/>
  <c r="P67" i="15" s="1"/>
  <c r="L67" i="15"/>
  <c r="J65" i="15"/>
  <c r="I65" i="15"/>
  <c r="K65" i="15" s="1"/>
  <c r="J64" i="15"/>
  <c r="I64" i="15"/>
  <c r="K64" i="15" s="1"/>
  <c r="N61" i="15"/>
  <c r="L61" i="15"/>
  <c r="L59" i="15"/>
  <c r="L58" i="15"/>
  <c r="N57" i="15"/>
  <c r="M57" i="15"/>
  <c r="P54" i="15"/>
  <c r="O54" i="15"/>
  <c r="N54" i="15"/>
  <c r="M54" i="15"/>
  <c r="L54" i="15"/>
  <c r="N49" i="15"/>
  <c r="L49" i="15"/>
  <c r="O49" i="15" s="1"/>
  <c r="L47" i="15"/>
  <c r="L46" i="15"/>
  <c r="N45" i="15"/>
  <c r="M45" i="15"/>
  <c r="M43" i="15" s="1"/>
  <c r="P42" i="15"/>
  <c r="N42" i="15"/>
  <c r="M42" i="15"/>
  <c r="L42" i="15"/>
  <c r="P36" i="15"/>
  <c r="O36" i="15"/>
  <c r="P35" i="15"/>
  <c r="O35" i="15"/>
  <c r="M34" i="15"/>
  <c r="P33" i="15"/>
  <c r="M33" i="15"/>
  <c r="P32" i="15"/>
  <c r="M32" i="15"/>
  <c r="P31" i="15"/>
  <c r="M31" i="15"/>
  <c r="M29" i="15" s="1"/>
  <c r="P29" i="15" s="1"/>
  <c r="M30" i="15"/>
  <c r="P30" i="15" s="1"/>
  <c r="M28" i="15"/>
  <c r="P28" i="15" s="1"/>
  <c r="P25" i="15"/>
  <c r="O25" i="15"/>
  <c r="N25" i="15"/>
  <c r="M25" i="15"/>
  <c r="L25" i="15"/>
  <c r="P24" i="15"/>
  <c r="N24" i="15"/>
  <c r="M24" i="15"/>
  <c r="N23" i="15"/>
  <c r="M23" i="15"/>
  <c r="P21" i="15"/>
  <c r="N21" i="15"/>
  <c r="M21" i="15"/>
  <c r="M19" i="15" s="1"/>
  <c r="P19" i="15" s="1"/>
  <c r="L21" i="15"/>
  <c r="O21" i="15" s="1"/>
  <c r="O19" i="15"/>
  <c r="L19" i="15"/>
  <c r="M15" i="15"/>
  <c r="P15" i="15" s="1"/>
  <c r="L15" i="15"/>
  <c r="O15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O648" i="14" s="1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5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J370" i="14"/>
  <c r="I370" i="14"/>
  <c r="K370" i="14" s="1"/>
  <c r="J369" i="14"/>
  <c r="I369" i="14"/>
  <c r="K369" i="14" s="1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N311" i="14"/>
  <c r="M311" i="14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P294" i="14" s="1"/>
  <c r="O293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O272" i="14"/>
  <c r="N272" i="14"/>
  <c r="M272" i="14"/>
  <c r="P272" i="14" s="1"/>
  <c r="L272" i="14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L256" i="14"/>
  <c r="L255" i="14"/>
  <c r="N254" i="14"/>
  <c r="M254" i="14"/>
  <c r="P254" i="14" s="1"/>
  <c r="O253" i="14"/>
  <c r="N251" i="14"/>
  <c r="M251" i="14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N221" i="14"/>
  <c r="M221" i="14"/>
  <c r="P221" i="14" s="1"/>
  <c r="L221" i="14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K200" i="14" s="1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K173" i="14" s="1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P122" i="14" s="1"/>
  <c r="O121" i="14"/>
  <c r="P119" i="14"/>
  <c r="O119" i="14"/>
  <c r="N119" i="14"/>
  <c r="M119" i="14"/>
  <c r="L119" i="14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P98" i="14" s="1"/>
  <c r="O97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L72" i="14"/>
  <c r="L71" i="14"/>
  <c r="N70" i="14"/>
  <c r="M70" i="14"/>
  <c r="O69" i="14"/>
  <c r="N67" i="14"/>
  <c r="M67" i="14"/>
  <c r="P67" i="14" s="1"/>
  <c r="L67" i="14"/>
  <c r="O67" i="14" s="1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N54" i="14"/>
  <c r="M54" i="14"/>
  <c r="P54" i="14" s="1"/>
  <c r="L54" i="14"/>
  <c r="N49" i="14"/>
  <c r="L49" i="14"/>
  <c r="O49" i="14" s="1"/>
  <c r="L47" i="14"/>
  <c r="L46" i="14"/>
  <c r="N45" i="14"/>
  <c r="M45" i="14"/>
  <c r="M43" i="14" s="1"/>
  <c r="O42" i="14"/>
  <c r="N42" i="14"/>
  <c r="M42" i="14"/>
  <c r="L42" i="14"/>
  <c r="P36" i="14"/>
  <c r="O36" i="14"/>
  <c r="P35" i="14"/>
  <c r="O35" i="14"/>
  <c r="P34" i="14"/>
  <c r="M34" i="14"/>
  <c r="M33" i="14"/>
  <c r="P33" i="14" s="1"/>
  <c r="M32" i="14"/>
  <c r="P32" i="14" s="1"/>
  <c r="M31" i="14"/>
  <c r="P31" i="14" s="1"/>
  <c r="N25" i="14"/>
  <c r="N15" i="14" s="1"/>
  <c r="M25" i="14"/>
  <c r="P25" i="14" s="1"/>
  <c r="L25" i="14"/>
  <c r="N24" i="14"/>
  <c r="M24" i="14"/>
  <c r="P24" i="14" s="1"/>
  <c r="P23" i="14"/>
  <c r="N23" i="14"/>
  <c r="M23" i="14"/>
  <c r="P21" i="14"/>
  <c r="O21" i="14"/>
  <c r="N21" i="14"/>
  <c r="M21" i="14"/>
  <c r="L21" i="14"/>
  <c r="M19" i="14"/>
  <c r="P19" i="14" s="1"/>
  <c r="M13" i="14"/>
  <c r="P13" i="14" s="1"/>
  <c r="M11" i="14"/>
  <c r="P11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O648" i="13" s="1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K369" i="13" s="1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P330" i="13"/>
  <c r="N330" i="13"/>
  <c r="M330" i="13"/>
  <c r="L330" i="13"/>
  <c r="O330" i="13" s="1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O313" i="13"/>
  <c r="P311" i="13"/>
  <c r="N311" i="13"/>
  <c r="M311" i="13"/>
  <c r="L311" i="13"/>
  <c r="O311" i="13" s="1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M292" i="13" s="1"/>
  <c r="O293" i="13"/>
  <c r="O291" i="13"/>
  <c r="N291" i="13"/>
  <c r="M291" i="13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P272" i="13" s="1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P254" i="13" s="1"/>
  <c r="O253" i="13"/>
  <c r="P251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O143" i="13"/>
  <c r="P141" i="13"/>
  <c r="N141" i="13"/>
  <c r="M141" i="13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O126" i="13" s="1"/>
  <c r="L124" i="13"/>
  <c r="L123" i="13"/>
  <c r="N122" i="13"/>
  <c r="M122" i="13"/>
  <c r="M120" i="13" s="1"/>
  <c r="O121" i="13"/>
  <c r="P119" i="13"/>
  <c r="O119" i="13"/>
  <c r="N119" i="13"/>
  <c r="M119" i="13"/>
  <c r="L119" i="13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M96" i="13" s="1"/>
  <c r="P96" i="13" s="1"/>
  <c r="O97" i="13"/>
  <c r="N95" i="13"/>
  <c r="M95" i="13"/>
  <c r="L95" i="13"/>
  <c r="O95" i="13" s="1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O67" i="13"/>
  <c r="N67" i="13"/>
  <c r="M67" i="13"/>
  <c r="P67" i="13" s="1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O54" i="13"/>
  <c r="N54" i="13"/>
  <c r="M54" i="13"/>
  <c r="P54" i="13" s="1"/>
  <c r="L54" i="13"/>
  <c r="N49" i="13"/>
  <c r="L49" i="13"/>
  <c r="O49" i="13" s="1"/>
  <c r="L47" i="13"/>
  <c r="L46" i="13"/>
  <c r="N45" i="13"/>
  <c r="M45" i="13"/>
  <c r="M43" i="13" s="1"/>
  <c r="M41" i="13" s="1"/>
  <c r="O42" i="13"/>
  <c r="N42" i="13"/>
  <c r="M42" i="13"/>
  <c r="P42" i="13" s="1"/>
  <c r="L42" i="13"/>
  <c r="P36" i="13"/>
  <c r="O36" i="13"/>
  <c r="P35" i="13"/>
  <c r="O35" i="13"/>
  <c r="M34" i="13"/>
  <c r="P34" i="13" s="1"/>
  <c r="M33" i="13"/>
  <c r="P33" i="13" s="1"/>
  <c r="P32" i="13"/>
  <c r="M32" i="13"/>
  <c r="P31" i="13"/>
  <c r="M31" i="13"/>
  <c r="M30" i="13"/>
  <c r="P30" i="13" s="1"/>
  <c r="M29" i="13"/>
  <c r="P25" i="13"/>
  <c r="N25" i="13"/>
  <c r="M25" i="13"/>
  <c r="L25" i="13"/>
  <c r="P24" i="13"/>
  <c r="N24" i="13"/>
  <c r="M24" i="13"/>
  <c r="N23" i="13"/>
  <c r="M23" i="13"/>
  <c r="N21" i="13"/>
  <c r="N19" i="13" s="1"/>
  <c r="M21" i="13"/>
  <c r="P21" i="13" s="1"/>
  <c r="L21" i="13"/>
  <c r="P19" i="13"/>
  <c r="M19" i="13"/>
  <c r="N15" i="13"/>
  <c r="M15" i="13"/>
  <c r="P15" i="13" s="1"/>
  <c r="M14" i="13"/>
  <c r="P14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O649" i="12" s="1"/>
  <c r="J649" i="12"/>
  <c r="I649" i="12"/>
  <c r="K649" i="12" s="1"/>
  <c r="N648" i="12"/>
  <c r="L648" i="12"/>
  <c r="J648" i="12"/>
  <c r="I648" i="12"/>
  <c r="K648" i="12" s="1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N352" i="12"/>
  <c r="L352" i="12"/>
  <c r="N351" i="12"/>
  <c r="L351" i="12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M312" i="12" s="1"/>
  <c r="P312" i="12" s="1"/>
  <c r="O313" i="12"/>
  <c r="N311" i="12"/>
  <c r="M311" i="12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P291" i="12"/>
  <c r="O291" i="12"/>
  <c r="N291" i="12"/>
  <c r="M291" i="12"/>
  <c r="L291" i="12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P275" i="12" s="1"/>
  <c r="O274" i="12"/>
  <c r="P272" i="12"/>
  <c r="O272" i="12"/>
  <c r="N272" i="12"/>
  <c r="M272" i="12"/>
  <c r="L272" i="12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O253" i="12"/>
  <c r="P251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L226" i="12"/>
  <c r="L225" i="12"/>
  <c r="N224" i="12"/>
  <c r="M224" i="12"/>
  <c r="O223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L146" i="12"/>
  <c r="L145" i="12"/>
  <c r="N144" i="12"/>
  <c r="M144" i="12"/>
  <c r="O143" i="12"/>
  <c r="N141" i="12"/>
  <c r="M141" i="12"/>
  <c r="P141" i="12" s="1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L124" i="12"/>
  <c r="L123" i="12"/>
  <c r="N122" i="12"/>
  <c r="M122" i="12"/>
  <c r="P122" i="12" s="1"/>
  <c r="O121" i="12"/>
  <c r="N119" i="12"/>
  <c r="M119" i="12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L100" i="12"/>
  <c r="L99" i="12"/>
  <c r="N98" i="12"/>
  <c r="M98" i="12"/>
  <c r="O97" i="12"/>
  <c r="N95" i="12"/>
  <c r="M95" i="12"/>
  <c r="P95" i="12" s="1"/>
  <c r="L95" i="12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P70" i="12" s="1"/>
  <c r="O69" i="12"/>
  <c r="N67" i="12"/>
  <c r="M67" i="12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N54" i="12"/>
  <c r="M54" i="12"/>
  <c r="P54" i="12" s="1"/>
  <c r="L54" i="12"/>
  <c r="N49" i="12"/>
  <c r="L49" i="12"/>
  <c r="L47" i="12"/>
  <c r="L46" i="12"/>
  <c r="N45" i="12"/>
  <c r="M45" i="12"/>
  <c r="P42" i="12"/>
  <c r="O42" i="12"/>
  <c r="N42" i="12"/>
  <c r="M42" i="12"/>
  <c r="L42" i="12"/>
  <c r="P36" i="12"/>
  <c r="O36" i="12"/>
  <c r="P35" i="12"/>
  <c r="O35" i="12"/>
  <c r="P34" i="12"/>
  <c r="M34" i="12"/>
  <c r="P33" i="12"/>
  <c r="M33" i="12"/>
  <c r="P32" i="12"/>
  <c r="M32" i="12"/>
  <c r="M30" i="12" s="1"/>
  <c r="P30" i="12" s="1"/>
  <c r="M31" i="12"/>
  <c r="P25" i="12"/>
  <c r="O25" i="12"/>
  <c r="N25" i="12"/>
  <c r="N15" i="12" s="1"/>
  <c r="M25" i="12"/>
  <c r="L25" i="12"/>
  <c r="N24" i="12"/>
  <c r="M24" i="12"/>
  <c r="N23" i="12"/>
  <c r="M23" i="12"/>
  <c r="P23" i="12" s="1"/>
  <c r="P21" i="12"/>
  <c r="N21" i="12"/>
  <c r="M21" i="12"/>
  <c r="L21" i="12"/>
  <c r="P19" i="12"/>
  <c r="N19" i="12"/>
  <c r="M19" i="12"/>
  <c r="M15" i="12"/>
  <c r="P15" i="12" s="1"/>
  <c r="L15" i="12"/>
  <c r="O15" i="12" s="1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O354" i="11" s="1"/>
  <c r="N353" i="11"/>
  <c r="L353" i="11"/>
  <c r="O353" i="11" s="1"/>
  <c r="N352" i="11"/>
  <c r="L352" i="11"/>
  <c r="O352" i="11" s="1"/>
  <c r="N351" i="11"/>
  <c r="L351" i="11"/>
  <c r="O351" i="11" s="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M312" i="11" s="1"/>
  <c r="O313" i="11"/>
  <c r="P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P294" i="11" s="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N272" i="11"/>
  <c r="M272" i="11"/>
  <c r="L272" i="11"/>
  <c r="O272" i="11" s="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M250" i="11" s="1"/>
  <c r="P250" i="11" s="1"/>
  <c r="O253" i="11"/>
  <c r="P251" i="11"/>
  <c r="N251" i="11"/>
  <c r="M251" i="1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P221" i="11"/>
  <c r="O221" i="11"/>
  <c r="N221" i="11"/>
  <c r="M221" i="1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M140" i="11" s="1"/>
  <c r="O143" i="11"/>
  <c r="P141" i="11"/>
  <c r="O141" i="11"/>
  <c r="N141" i="11"/>
  <c r="M141" i="11"/>
  <c r="L141" i="1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L124" i="11"/>
  <c r="L123" i="11"/>
  <c r="N122" i="11"/>
  <c r="M122" i="11"/>
  <c r="P122" i="11" s="1"/>
  <c r="O121" i="11"/>
  <c r="O119" i="11"/>
  <c r="N119" i="11"/>
  <c r="M119" i="11"/>
  <c r="P119" i="11" s="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P98" i="11" s="1"/>
  <c r="O97" i="11"/>
  <c r="N95" i="11"/>
  <c r="M95" i="11"/>
  <c r="P95" i="11" s="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O67" i="11"/>
  <c r="N67" i="11"/>
  <c r="M67" i="11"/>
  <c r="L67" i="1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P54" i="11"/>
  <c r="N54" i="11"/>
  <c r="M54" i="11"/>
  <c r="L54" i="11"/>
  <c r="O54" i="11" s="1"/>
  <c r="N49" i="11"/>
  <c r="L49" i="11"/>
  <c r="M49" i="11" s="1"/>
  <c r="L47" i="11"/>
  <c r="L46" i="11"/>
  <c r="N45" i="11"/>
  <c r="M45" i="11"/>
  <c r="O42" i="11"/>
  <c r="N42" i="11"/>
  <c r="M42" i="11"/>
  <c r="P42" i="11" s="1"/>
  <c r="L42" i="11"/>
  <c r="P36" i="11"/>
  <c r="O36" i="11"/>
  <c r="P35" i="11"/>
  <c r="O35" i="11"/>
  <c r="P34" i="11"/>
  <c r="M34" i="11"/>
  <c r="M33" i="11"/>
  <c r="M32" i="11"/>
  <c r="M31" i="11"/>
  <c r="P31" i="11" s="1"/>
  <c r="P29" i="11"/>
  <c r="M29" i="11"/>
  <c r="N25" i="11"/>
  <c r="M25" i="11"/>
  <c r="L25" i="11"/>
  <c r="N24" i="11"/>
  <c r="M24" i="11"/>
  <c r="P24" i="11" s="1"/>
  <c r="P23" i="11"/>
  <c r="N23" i="11"/>
  <c r="M23" i="11"/>
  <c r="P21" i="11"/>
  <c r="O21" i="11"/>
  <c r="N21" i="11"/>
  <c r="M21" i="11"/>
  <c r="L21" i="11"/>
  <c r="L19" i="11"/>
  <c r="O19" i="11" s="1"/>
  <c r="N15" i="11"/>
  <c r="P14" i="11"/>
  <c r="M14" i="11"/>
  <c r="M11" i="11"/>
  <c r="P11" i="11" s="1"/>
  <c r="J677" i="10"/>
  <c r="J676" i="10"/>
  <c r="J675" i="10"/>
  <c r="J674" i="10"/>
  <c r="J673" i="10"/>
  <c r="J672" i="10"/>
  <c r="N671" i="10"/>
  <c r="L671" i="10"/>
  <c r="O671" i="10" s="1"/>
  <c r="I671" i="10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O648" i="10" s="1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6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O583" i="10" s="1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O311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P291" i="10" s="1"/>
  <c r="L291" i="10"/>
  <c r="O291" i="10" s="1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O272" i="10"/>
  <c r="N272" i="10"/>
  <c r="M272" i="10"/>
  <c r="L272" i="10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L256" i="10"/>
  <c r="L255" i="10"/>
  <c r="N254" i="10"/>
  <c r="M254" i="10"/>
  <c r="O253" i="10"/>
  <c r="O251" i="10"/>
  <c r="N251" i="10"/>
  <c r="M251" i="10"/>
  <c r="P251" i="10" s="1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M220" i="10" s="1"/>
  <c r="O223" i="10"/>
  <c r="N221" i="10"/>
  <c r="M221" i="10"/>
  <c r="P221" i="10" s="1"/>
  <c r="L221" i="10"/>
  <c r="O221" i="10" s="1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N141" i="10"/>
  <c r="M141" i="10"/>
  <c r="L141" i="10"/>
  <c r="O141" i="10" s="1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O97" i="10"/>
  <c r="P95" i="10"/>
  <c r="O95" i="10"/>
  <c r="N95" i="10"/>
  <c r="M95" i="10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P70" i="10" s="1"/>
  <c r="O69" i="10"/>
  <c r="P67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M55" i="10" s="1"/>
  <c r="M53" i="10" s="1"/>
  <c r="P54" i="10"/>
  <c r="N54" i="10"/>
  <c r="M54" i="10"/>
  <c r="L54" i="10"/>
  <c r="O54" i="10" s="1"/>
  <c r="N49" i="10"/>
  <c r="L49" i="10"/>
  <c r="L47" i="10"/>
  <c r="L46" i="10"/>
  <c r="N45" i="10"/>
  <c r="M45" i="10"/>
  <c r="N42" i="10"/>
  <c r="M42" i="10"/>
  <c r="P42" i="10" s="1"/>
  <c r="L42" i="10"/>
  <c r="O42" i="10" s="1"/>
  <c r="P36" i="10"/>
  <c r="O36" i="10"/>
  <c r="P35" i="10"/>
  <c r="O35" i="10"/>
  <c r="M34" i="10"/>
  <c r="P34" i="10" s="1"/>
  <c r="M33" i="10"/>
  <c r="P33" i="10" s="1"/>
  <c r="P32" i="10"/>
  <c r="M32" i="10"/>
  <c r="M30" i="10" s="1"/>
  <c r="M31" i="10"/>
  <c r="P31" i="10" s="1"/>
  <c r="P30" i="10"/>
  <c r="M29" i="10"/>
  <c r="P25" i="10"/>
  <c r="N25" i="10"/>
  <c r="M25" i="10"/>
  <c r="L25" i="10"/>
  <c r="O25" i="10" s="1"/>
  <c r="P24" i="10"/>
  <c r="N24" i="10"/>
  <c r="M24" i="10"/>
  <c r="N23" i="10"/>
  <c r="M23" i="10"/>
  <c r="N21" i="10"/>
  <c r="N19" i="10" s="1"/>
  <c r="M21" i="10"/>
  <c r="P21" i="10" s="1"/>
  <c r="L21" i="10"/>
  <c r="P19" i="10"/>
  <c r="M19" i="10"/>
  <c r="N15" i="10"/>
  <c r="M15" i="10"/>
  <c r="P15" i="10" s="1"/>
  <c r="L15" i="10"/>
  <c r="O15" i="10" s="1"/>
  <c r="M14" i="10"/>
  <c r="P14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M337" i="9" s="1"/>
  <c r="L335" i="9"/>
  <c r="L334" i="9"/>
  <c r="N333" i="9"/>
  <c r="M333" i="9"/>
  <c r="O332" i="9"/>
  <c r="P330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N311" i="9"/>
  <c r="M311" i="9"/>
  <c r="P311" i="9" s="1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P291" i="9"/>
  <c r="N291" i="9"/>
  <c r="M291" i="9"/>
  <c r="L291" i="9"/>
  <c r="O291" i="9" s="1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N272" i="9"/>
  <c r="M272" i="9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N251" i="9"/>
  <c r="M251" i="9"/>
  <c r="P251" i="9" s="1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N221" i="9"/>
  <c r="M221" i="9"/>
  <c r="L221" i="9"/>
  <c r="O221" i="9" s="1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O143" i="9"/>
  <c r="P141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L124" i="9"/>
  <c r="L123" i="9"/>
  <c r="N122" i="9"/>
  <c r="M122" i="9"/>
  <c r="O121" i="9"/>
  <c r="P119" i="9"/>
  <c r="O119" i="9"/>
  <c r="N119" i="9"/>
  <c r="M119" i="9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M102" i="9" s="1"/>
  <c r="L100" i="9"/>
  <c r="L99" i="9"/>
  <c r="N98" i="9"/>
  <c r="M98" i="9"/>
  <c r="O97" i="9"/>
  <c r="P95" i="9"/>
  <c r="O95" i="9"/>
  <c r="N95" i="9"/>
  <c r="M95" i="9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O69" i="9"/>
  <c r="P67" i="9"/>
  <c r="O67" i="9"/>
  <c r="N67" i="9"/>
  <c r="M67" i="9"/>
  <c r="L67" i="9"/>
  <c r="J65" i="9"/>
  <c r="I65" i="9"/>
  <c r="J64" i="9"/>
  <c r="I64" i="9"/>
  <c r="N61" i="9"/>
  <c r="L61" i="9"/>
  <c r="O61" i="9" s="1"/>
  <c r="L59" i="9"/>
  <c r="L58" i="9"/>
  <c r="N57" i="9"/>
  <c r="M57" i="9"/>
  <c r="P54" i="9"/>
  <c r="O54" i="9"/>
  <c r="N54" i="9"/>
  <c r="M54" i="9"/>
  <c r="L54" i="9"/>
  <c r="N49" i="9"/>
  <c r="L49" i="9"/>
  <c r="L47" i="9"/>
  <c r="L46" i="9"/>
  <c r="N45" i="9"/>
  <c r="M45" i="9"/>
  <c r="P42" i="9"/>
  <c r="O42" i="9"/>
  <c r="N42" i="9"/>
  <c r="M42" i="9"/>
  <c r="L42" i="9"/>
  <c r="P36" i="9"/>
  <c r="O36" i="9"/>
  <c r="P35" i="9"/>
  <c r="O35" i="9"/>
  <c r="M34" i="9"/>
  <c r="P34" i="9" s="1"/>
  <c r="P33" i="9"/>
  <c r="M33" i="9"/>
  <c r="P32" i="9"/>
  <c r="M32" i="9"/>
  <c r="M31" i="9"/>
  <c r="P31" i="9" s="1"/>
  <c r="M30" i="9"/>
  <c r="P30" i="9" s="1"/>
  <c r="M29" i="9"/>
  <c r="P25" i="9"/>
  <c r="O25" i="9"/>
  <c r="N25" i="9"/>
  <c r="M25" i="9"/>
  <c r="L25" i="9"/>
  <c r="N24" i="9"/>
  <c r="M24" i="9"/>
  <c r="P24" i="9" s="1"/>
  <c r="N23" i="9"/>
  <c r="M23" i="9"/>
  <c r="P21" i="9"/>
  <c r="N21" i="9"/>
  <c r="N19" i="9" s="1"/>
  <c r="M21" i="9"/>
  <c r="L21" i="9"/>
  <c r="P19" i="9"/>
  <c r="M19" i="9"/>
  <c r="N15" i="9"/>
  <c r="M15" i="9"/>
  <c r="P15" i="9" s="1"/>
  <c r="L15" i="9"/>
  <c r="O15" i="9" s="1"/>
  <c r="P14" i="9"/>
  <c r="M14" i="9"/>
  <c r="M11" i="9"/>
  <c r="P11" i="9" s="1"/>
  <c r="M9" i="9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J665" i="8"/>
  <c r="I665" i="8"/>
  <c r="K665" i="8" s="1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O651" i="8" s="1"/>
  <c r="I651" i="8"/>
  <c r="K651" i="8" s="1"/>
  <c r="N650" i="8"/>
  <c r="L650" i="8"/>
  <c r="J650" i="8"/>
  <c r="I650" i="8"/>
  <c r="N649" i="8"/>
  <c r="L649" i="8"/>
  <c r="O649" i="8" s="1"/>
  <c r="J649" i="8"/>
  <c r="I649" i="8"/>
  <c r="K649" i="8" s="1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L316" i="8"/>
  <c r="L315" i="8"/>
  <c r="N314" i="8"/>
  <c r="M314" i="8"/>
  <c r="P314" i="8" s="1"/>
  <c r="O313" i="8"/>
  <c r="N311" i="8"/>
  <c r="M311" i="8"/>
  <c r="P311" i="8" s="1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N272" i="8"/>
  <c r="M272" i="8"/>
  <c r="L272" i="8"/>
  <c r="O272" i="8" s="1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N251" i="8"/>
  <c r="M251" i="8"/>
  <c r="P251" i="8" s="1"/>
  <c r="L251" i="8"/>
  <c r="O251" i="8" s="1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M140" i="8" s="1"/>
  <c r="O143" i="8"/>
  <c r="N141" i="8"/>
  <c r="M141" i="8"/>
  <c r="P141" i="8" s="1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L124" i="8"/>
  <c r="L123" i="8"/>
  <c r="N122" i="8"/>
  <c r="M122" i="8"/>
  <c r="M120" i="8" s="1"/>
  <c r="O121" i="8"/>
  <c r="N119" i="8"/>
  <c r="M119" i="8"/>
  <c r="L119" i="8"/>
  <c r="O119" i="8" s="1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P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P70" i="8" s="1"/>
  <c r="O69" i="8"/>
  <c r="P67" i="8"/>
  <c r="O67" i="8"/>
  <c r="N67" i="8"/>
  <c r="M67" i="8"/>
  <c r="L67" i="8"/>
  <c r="J65" i="8"/>
  <c r="I65" i="8"/>
  <c r="K65" i="8" s="1"/>
  <c r="J64" i="8"/>
  <c r="I64" i="8"/>
  <c r="K64" i="8" s="1"/>
  <c r="N61" i="8"/>
  <c r="L61" i="8"/>
  <c r="O61" i="8" s="1"/>
  <c r="L59" i="8"/>
  <c r="L58" i="8"/>
  <c r="N57" i="8"/>
  <c r="M57" i="8"/>
  <c r="M55" i="8" s="1"/>
  <c r="P54" i="8"/>
  <c r="N54" i="8"/>
  <c r="M54" i="8"/>
  <c r="L54" i="8"/>
  <c r="N49" i="8"/>
  <c r="L49" i="8"/>
  <c r="O49" i="8" s="1"/>
  <c r="L47" i="8"/>
  <c r="L46" i="8"/>
  <c r="N45" i="8"/>
  <c r="M45" i="8"/>
  <c r="M43" i="8" s="1"/>
  <c r="N42" i="8"/>
  <c r="M42" i="8"/>
  <c r="L42" i="8"/>
  <c r="O42" i="8" s="1"/>
  <c r="P36" i="8"/>
  <c r="O36" i="8"/>
  <c r="P35" i="8"/>
  <c r="O35" i="8"/>
  <c r="M34" i="8"/>
  <c r="P34" i="8" s="1"/>
  <c r="M33" i="8"/>
  <c r="P33" i="8" s="1"/>
  <c r="P32" i="8"/>
  <c r="M32" i="8"/>
  <c r="M30" i="8" s="1"/>
  <c r="P31" i="8"/>
  <c r="M31" i="8"/>
  <c r="P30" i="8"/>
  <c r="M29" i="8"/>
  <c r="P29" i="8" s="1"/>
  <c r="M28" i="8"/>
  <c r="P28" i="8" s="1"/>
  <c r="P25" i="8"/>
  <c r="N25" i="8"/>
  <c r="M25" i="8"/>
  <c r="L25" i="8"/>
  <c r="P24" i="8"/>
  <c r="N24" i="8"/>
  <c r="M24" i="8"/>
  <c r="P23" i="8"/>
  <c r="N23" i="8"/>
  <c r="M23" i="8"/>
  <c r="N21" i="8"/>
  <c r="M21" i="8"/>
  <c r="L21" i="8"/>
  <c r="O21" i="8" s="1"/>
  <c r="N15" i="8"/>
  <c r="M15" i="8"/>
  <c r="P15" i="8" s="1"/>
  <c r="M14" i="8"/>
  <c r="P14" i="8" s="1"/>
  <c r="M13" i="8"/>
  <c r="P13" i="8" s="1"/>
  <c r="J677" i="7"/>
  <c r="J676" i="7"/>
  <c r="J675" i="7"/>
  <c r="J674" i="7"/>
  <c r="J673" i="7"/>
  <c r="J672" i="7"/>
  <c r="N671" i="7"/>
  <c r="L671" i="7"/>
  <c r="O671" i="7" s="1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O583" i="7" s="1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P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N311" i="7"/>
  <c r="M311" i="7"/>
  <c r="P311" i="7" s="1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L296" i="7"/>
  <c r="L295" i="7"/>
  <c r="N294" i="7"/>
  <c r="M294" i="7"/>
  <c r="P294" i="7" s="1"/>
  <c r="O293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O272" i="7"/>
  <c r="N272" i="7"/>
  <c r="M272" i="7"/>
  <c r="P272" i="7" s="1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N251" i="7"/>
  <c r="M251" i="7"/>
  <c r="P251" i="7" s="1"/>
  <c r="L251" i="7"/>
  <c r="O251" i="7" s="1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L226" i="7"/>
  <c r="L225" i="7"/>
  <c r="N224" i="7"/>
  <c r="M224" i="7"/>
  <c r="M222" i="7" s="1"/>
  <c r="O223" i="7"/>
  <c r="N221" i="7"/>
  <c r="M221" i="7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O143" i="7"/>
  <c r="P141" i="7"/>
  <c r="N141" i="7"/>
  <c r="M141" i="7"/>
  <c r="L141" i="7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O121" i="7"/>
  <c r="P119" i="7"/>
  <c r="N119" i="7"/>
  <c r="M119" i="7"/>
  <c r="L119" i="7"/>
  <c r="O119" i="7" s="1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P98" i="7" s="1"/>
  <c r="O97" i="7"/>
  <c r="P95" i="7"/>
  <c r="O95" i="7"/>
  <c r="N95" i="7"/>
  <c r="M95" i="7"/>
  <c r="L95" i="7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O67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O54" i="7"/>
  <c r="N54" i="7"/>
  <c r="M54" i="7"/>
  <c r="L54" i="7"/>
  <c r="N49" i="7"/>
  <c r="L49" i="7"/>
  <c r="O49" i="7" s="1"/>
  <c r="L47" i="7"/>
  <c r="L46" i="7"/>
  <c r="N45" i="7"/>
  <c r="M45" i="7"/>
  <c r="P42" i="7"/>
  <c r="N42" i="7"/>
  <c r="M42" i="7"/>
  <c r="L42" i="7"/>
  <c r="P36" i="7"/>
  <c r="O36" i="7"/>
  <c r="P35" i="7"/>
  <c r="O35" i="7"/>
  <c r="P34" i="7"/>
  <c r="M34" i="7"/>
  <c r="P33" i="7"/>
  <c r="M33" i="7"/>
  <c r="P32" i="7"/>
  <c r="M32" i="7"/>
  <c r="M31" i="7"/>
  <c r="P31" i="7" s="1"/>
  <c r="M30" i="7"/>
  <c r="P30" i="7" s="1"/>
  <c r="M29" i="7"/>
  <c r="P25" i="7"/>
  <c r="O25" i="7"/>
  <c r="N25" i="7"/>
  <c r="N15" i="7" s="1"/>
  <c r="M25" i="7"/>
  <c r="L25" i="7"/>
  <c r="N24" i="7"/>
  <c r="M24" i="7"/>
  <c r="P24" i="7" s="1"/>
  <c r="N23" i="7"/>
  <c r="M23" i="7"/>
  <c r="P21" i="7"/>
  <c r="N21" i="7"/>
  <c r="M21" i="7"/>
  <c r="M19" i="7" s="1"/>
  <c r="L21" i="7"/>
  <c r="P19" i="7"/>
  <c r="N19" i="7"/>
  <c r="M15" i="7"/>
  <c r="L15" i="7"/>
  <c r="O15" i="7" s="1"/>
  <c r="M11" i="7"/>
  <c r="P11" i="7" s="1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K665" i="6" s="1"/>
  <c r="J663" i="6"/>
  <c r="I663" i="6"/>
  <c r="K663" i="6" s="1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O650" i="6" s="1"/>
  <c r="J650" i="6"/>
  <c r="I650" i="6"/>
  <c r="K650" i="6" s="1"/>
  <c r="N649" i="6"/>
  <c r="L649" i="6"/>
  <c r="J649" i="6"/>
  <c r="I649" i="6"/>
  <c r="N648" i="6"/>
  <c r="L648" i="6"/>
  <c r="J648" i="6"/>
  <c r="I648" i="6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K369" i="6" s="1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O354" i="6" s="1"/>
  <c r="N353" i="6"/>
  <c r="L353" i="6"/>
  <c r="O353" i="6" s="1"/>
  <c r="N352" i="6"/>
  <c r="L352" i="6"/>
  <c r="O352" i="6" s="1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O318" i="6" s="1"/>
  <c r="L316" i="6"/>
  <c r="L315" i="6"/>
  <c r="N314" i="6"/>
  <c r="M314" i="6"/>
  <c r="P314" i="6" s="1"/>
  <c r="O313" i="6"/>
  <c r="P311" i="6"/>
  <c r="O311" i="6"/>
  <c r="N311" i="6"/>
  <c r="M311" i="6"/>
  <c r="L311" i="6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O291" i="6"/>
  <c r="N291" i="6"/>
  <c r="M291" i="6"/>
  <c r="P291" i="6" s="1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P275" i="6" s="1"/>
  <c r="O274" i="6"/>
  <c r="P272" i="6"/>
  <c r="O272" i="6"/>
  <c r="N272" i="6"/>
  <c r="M272" i="6"/>
  <c r="L272" i="6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O251" i="6"/>
  <c r="N251" i="6"/>
  <c r="M251" i="6"/>
  <c r="L251" i="6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O221" i="6"/>
  <c r="N221" i="6"/>
  <c r="M221" i="6"/>
  <c r="P221" i="6" s="1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M140" i="6" s="1"/>
  <c r="O143" i="6"/>
  <c r="N141" i="6"/>
  <c r="M141" i="6"/>
  <c r="P141" i="6" s="1"/>
  <c r="L141" i="6"/>
  <c r="O141" i="6" s="1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L124" i="6"/>
  <c r="L123" i="6"/>
  <c r="N122" i="6"/>
  <c r="M122" i="6"/>
  <c r="O121" i="6"/>
  <c r="N119" i="6"/>
  <c r="M119" i="6"/>
  <c r="M119" i="1" s="1"/>
  <c r="P119" i="1" s="1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O97" i="6"/>
  <c r="P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O69" i="6"/>
  <c r="P67" i="6"/>
  <c r="O67" i="6"/>
  <c r="N67" i="6"/>
  <c r="M67" i="6"/>
  <c r="L67" i="6"/>
  <c r="J65" i="6"/>
  <c r="I65" i="6"/>
  <c r="K65" i="6" s="1"/>
  <c r="J64" i="6"/>
  <c r="I64" i="6"/>
  <c r="K64" i="6" s="1"/>
  <c r="N61" i="6"/>
  <c r="L61" i="6"/>
  <c r="L59" i="6"/>
  <c r="L58" i="6"/>
  <c r="N57" i="6"/>
  <c r="M57" i="6"/>
  <c r="P54" i="6"/>
  <c r="N54" i="6"/>
  <c r="M54" i="6"/>
  <c r="L54" i="6"/>
  <c r="N49" i="6"/>
  <c r="L49" i="6"/>
  <c r="M49" i="6" s="1"/>
  <c r="L47" i="6"/>
  <c r="L46" i="6"/>
  <c r="N45" i="6"/>
  <c r="M45" i="6"/>
  <c r="O42" i="6"/>
  <c r="N42" i="6"/>
  <c r="M42" i="6"/>
  <c r="P42" i="6" s="1"/>
  <c r="L42" i="6"/>
  <c r="P36" i="6"/>
  <c r="O36" i="6"/>
  <c r="P35" i="6"/>
  <c r="O35" i="6"/>
  <c r="P34" i="6"/>
  <c r="M34" i="6"/>
  <c r="M33" i="6"/>
  <c r="P33" i="6" s="1"/>
  <c r="M32" i="6"/>
  <c r="M31" i="6"/>
  <c r="N25" i="6"/>
  <c r="N15" i="6" s="1"/>
  <c r="M25" i="6"/>
  <c r="L25" i="6"/>
  <c r="O25" i="6" s="1"/>
  <c r="N24" i="6"/>
  <c r="M24" i="6"/>
  <c r="P23" i="6"/>
  <c r="N23" i="6"/>
  <c r="M23" i="6"/>
  <c r="P21" i="6"/>
  <c r="O21" i="6"/>
  <c r="N21" i="6"/>
  <c r="M21" i="6"/>
  <c r="L21" i="6"/>
  <c r="N19" i="6"/>
  <c r="M19" i="6"/>
  <c r="P19" i="6" s="1"/>
  <c r="L19" i="6"/>
  <c r="O19" i="6" s="1"/>
  <c r="M13" i="6"/>
  <c r="P13" i="6" s="1"/>
  <c r="M11" i="6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O665" i="5" s="1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N650" i="5"/>
  <c r="L650" i="5"/>
  <c r="O650" i="5" s="1"/>
  <c r="J650" i="5"/>
  <c r="I650" i="5"/>
  <c r="K650" i="5" s="1"/>
  <c r="N649" i="5"/>
  <c r="L649" i="5"/>
  <c r="O649" i="5" s="1"/>
  <c r="J649" i="5"/>
  <c r="I649" i="5"/>
  <c r="K649" i="5" s="1"/>
  <c r="N648" i="5"/>
  <c r="L648" i="5"/>
  <c r="O648" i="5" s="1"/>
  <c r="J648" i="5"/>
  <c r="I648" i="5"/>
  <c r="K648" i="5" s="1"/>
  <c r="J647" i="5"/>
  <c r="J646" i="5"/>
  <c r="O639" i="5"/>
  <c r="O637" i="5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K369" i="5" s="1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O352" i="5" s="1"/>
  <c r="N351" i="5"/>
  <c r="L351" i="5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P330" i="5" s="1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P314" i="5" s="1"/>
  <c r="O313" i="5"/>
  <c r="P311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P292" i="5" s="1"/>
  <c r="O293" i="5"/>
  <c r="O291" i="5"/>
  <c r="N291" i="5"/>
  <c r="M291" i="5"/>
  <c r="L291" i="5"/>
  <c r="J289" i="5"/>
  <c r="I289" i="5"/>
  <c r="K289" i="5" s="1"/>
  <c r="J287" i="5"/>
  <c r="J286" i="5"/>
  <c r="J285" i="5"/>
  <c r="I285" i="5"/>
  <c r="J284" i="5"/>
  <c r="J283" i="5"/>
  <c r="J282" i="5"/>
  <c r="J281" i="5"/>
  <c r="N279" i="5"/>
  <c r="L279" i="5"/>
  <c r="O279" i="5" s="1"/>
  <c r="L277" i="5"/>
  <c r="L276" i="5"/>
  <c r="N275" i="5"/>
  <c r="M275" i="5"/>
  <c r="P275" i="5" s="1"/>
  <c r="O274" i="5"/>
  <c r="O272" i="5"/>
  <c r="N272" i="5"/>
  <c r="M272" i="5"/>
  <c r="P272" i="5" s="1"/>
  <c r="L272" i="5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P251" i="5"/>
  <c r="N251" i="5"/>
  <c r="M251" i="5"/>
  <c r="L251" i="5"/>
  <c r="O251" i="5" s="1"/>
  <c r="J249" i="5"/>
  <c r="I249" i="5"/>
  <c r="K249" i="5" s="1"/>
  <c r="J246" i="5"/>
  <c r="J245" i="5"/>
  <c r="J244" i="5"/>
  <c r="I244" i="5"/>
  <c r="K244" i="5" s="1"/>
  <c r="J243" i="5"/>
  <c r="J242" i="5"/>
  <c r="J241" i="5"/>
  <c r="J240" i="5"/>
  <c r="J238" i="5"/>
  <c r="I238" i="5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O221" i="5"/>
  <c r="N221" i="5"/>
  <c r="M221" i="5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O143" i="5"/>
  <c r="N141" i="5"/>
  <c r="M141" i="5"/>
  <c r="P141" i="5" s="1"/>
  <c r="L141" i="5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O121" i="5"/>
  <c r="N119" i="5"/>
  <c r="M119" i="5"/>
  <c r="L119" i="5"/>
  <c r="O119" i="5" s="1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P95" i="5" s="1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P70" i="5" s="1"/>
  <c r="O69" i="5"/>
  <c r="N67" i="5"/>
  <c r="M67" i="5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N54" i="5"/>
  <c r="M54" i="5"/>
  <c r="P54" i="5" s="1"/>
  <c r="L54" i="5"/>
  <c r="N49" i="5"/>
  <c r="L49" i="5"/>
  <c r="O49" i="5" s="1"/>
  <c r="L47" i="5"/>
  <c r="L46" i="5"/>
  <c r="N45" i="5"/>
  <c r="M45" i="5"/>
  <c r="N42" i="5"/>
  <c r="M42" i="5"/>
  <c r="L42" i="5"/>
  <c r="P36" i="5"/>
  <c r="O36" i="5"/>
  <c r="P35" i="5"/>
  <c r="O35" i="5"/>
  <c r="P34" i="5"/>
  <c r="M34" i="5"/>
  <c r="M33" i="5"/>
  <c r="P33" i="5" s="1"/>
  <c r="M32" i="5"/>
  <c r="P32" i="5" s="1"/>
  <c r="P31" i="5"/>
  <c r="M31" i="5"/>
  <c r="M29" i="5" s="1"/>
  <c r="P29" i="5" s="1"/>
  <c r="P30" i="5"/>
  <c r="M30" i="5"/>
  <c r="N25" i="5"/>
  <c r="M25" i="5"/>
  <c r="P25" i="5" s="1"/>
  <c r="L25" i="5"/>
  <c r="P24" i="5"/>
  <c r="N24" i="5"/>
  <c r="M24" i="5"/>
  <c r="P23" i="5"/>
  <c r="N23" i="5"/>
  <c r="M23" i="5"/>
  <c r="O21" i="5"/>
  <c r="N21" i="5"/>
  <c r="M21" i="5"/>
  <c r="L21" i="5"/>
  <c r="L19" i="5"/>
  <c r="N15" i="5"/>
  <c r="M15" i="5"/>
  <c r="P15" i="5" s="1"/>
  <c r="M14" i="5"/>
  <c r="P14" i="5" s="1"/>
  <c r="M13" i="5"/>
  <c r="P13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O649" i="4" s="1"/>
  <c r="J649" i="4"/>
  <c r="I649" i="4"/>
  <c r="K649" i="4" s="1"/>
  <c r="N648" i="4"/>
  <c r="L648" i="4"/>
  <c r="O648" i="4" s="1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N582" i="4"/>
  <c r="L582" i="4"/>
  <c r="O582" i="4" s="1"/>
  <c r="N581" i="4"/>
  <c r="L581" i="4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N352" i="4"/>
  <c r="L352" i="4"/>
  <c r="N351" i="4"/>
  <c r="L351" i="4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P330" i="4"/>
  <c r="N330" i="4"/>
  <c r="M330" i="4"/>
  <c r="L330" i="4"/>
  <c r="J328" i="4"/>
  <c r="I328" i="4"/>
  <c r="J326" i="4"/>
  <c r="J325" i="4"/>
  <c r="J324" i="4"/>
  <c r="I324" i="4"/>
  <c r="J323" i="4"/>
  <c r="J322" i="4"/>
  <c r="J321" i="4"/>
  <c r="J320" i="4"/>
  <c r="N318" i="4"/>
  <c r="L318" i="4"/>
  <c r="O318" i="4" s="1"/>
  <c r="L316" i="4"/>
  <c r="L315" i="4"/>
  <c r="N314" i="4"/>
  <c r="M314" i="4"/>
  <c r="O313" i="4"/>
  <c r="N311" i="4"/>
  <c r="M311" i="4"/>
  <c r="P311" i="4" s="1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L296" i="4"/>
  <c r="L295" i="4"/>
  <c r="N294" i="4"/>
  <c r="M294" i="4"/>
  <c r="O293" i="4"/>
  <c r="O291" i="4"/>
  <c r="N291" i="4"/>
  <c r="M291" i="4"/>
  <c r="L291" i="4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N275" i="4"/>
  <c r="M275" i="4"/>
  <c r="P275" i="4" s="1"/>
  <c r="O274" i="4"/>
  <c r="O272" i="4"/>
  <c r="N272" i="4"/>
  <c r="M272" i="4"/>
  <c r="P272" i="4" s="1"/>
  <c r="L272" i="4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M252" i="4" s="1"/>
  <c r="O253" i="4"/>
  <c r="P251" i="4"/>
  <c r="N251" i="4"/>
  <c r="M251" i="4"/>
  <c r="L251" i="4"/>
  <c r="O251" i="4" s="1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L226" i="4"/>
  <c r="L225" i="4"/>
  <c r="N224" i="4"/>
  <c r="M224" i="4"/>
  <c r="M222" i="4" s="1"/>
  <c r="O223" i="4"/>
  <c r="N221" i="4"/>
  <c r="M221" i="4"/>
  <c r="L221" i="4"/>
  <c r="O221" i="4" s="1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P120" i="4" s="1"/>
  <c r="O121" i="4"/>
  <c r="O119" i="4"/>
  <c r="N119" i="4"/>
  <c r="M119" i="4"/>
  <c r="L119" i="4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L100" i="4"/>
  <c r="L99" i="4"/>
  <c r="N98" i="4"/>
  <c r="M98" i="4"/>
  <c r="O97" i="4"/>
  <c r="P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P70" i="4" s="1"/>
  <c r="O69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L59" i="4"/>
  <c r="L58" i="4"/>
  <c r="N57" i="4"/>
  <c r="M57" i="4"/>
  <c r="P54" i="4"/>
  <c r="N54" i="4"/>
  <c r="M54" i="4"/>
  <c r="L54" i="4"/>
  <c r="N49" i="4"/>
  <c r="L49" i="4"/>
  <c r="O49" i="4" s="1"/>
  <c r="L47" i="4"/>
  <c r="L46" i="4"/>
  <c r="N45" i="4"/>
  <c r="M45" i="4"/>
  <c r="M43" i="4" s="1"/>
  <c r="O42" i="4"/>
  <c r="N42" i="4"/>
  <c r="M42" i="4"/>
  <c r="L42" i="4"/>
  <c r="P36" i="4"/>
  <c r="O36" i="4"/>
  <c r="P35" i="4"/>
  <c r="O35" i="4"/>
  <c r="P34" i="4"/>
  <c r="M34" i="4"/>
  <c r="M33" i="4"/>
  <c r="P33" i="4" s="1"/>
  <c r="P32" i="4"/>
  <c r="M32" i="4"/>
  <c r="M30" i="4" s="1"/>
  <c r="M31" i="4"/>
  <c r="P30" i="4"/>
  <c r="P25" i="4"/>
  <c r="N25" i="4"/>
  <c r="M25" i="4"/>
  <c r="L25" i="4"/>
  <c r="N24" i="4"/>
  <c r="M24" i="4"/>
  <c r="M14" i="4" s="1"/>
  <c r="P14" i="4" s="1"/>
  <c r="P23" i="4"/>
  <c r="N23" i="4"/>
  <c r="M23" i="4"/>
  <c r="N21" i="4"/>
  <c r="M21" i="4"/>
  <c r="L21" i="4"/>
  <c r="O21" i="4" s="1"/>
  <c r="L19" i="4"/>
  <c r="M15" i="4"/>
  <c r="P15" i="4" s="1"/>
  <c r="M13" i="4"/>
  <c r="P13" i="4" s="1"/>
  <c r="J677" i="3"/>
  <c r="J676" i="3"/>
  <c r="J675" i="3"/>
  <c r="J674" i="3"/>
  <c r="J673" i="3"/>
  <c r="J672" i="3"/>
  <c r="N671" i="3"/>
  <c r="L671" i="3"/>
  <c r="O671" i="3" s="1"/>
  <c r="I671" i="3"/>
  <c r="K671" i="3" s="1"/>
  <c r="J670" i="3"/>
  <c r="J669" i="3"/>
  <c r="N668" i="3"/>
  <c r="L668" i="3"/>
  <c r="O668" i="3" s="1"/>
  <c r="J668" i="3"/>
  <c r="I668" i="3"/>
  <c r="K668" i="3" s="1"/>
  <c r="J667" i="3"/>
  <c r="J666" i="3"/>
  <c r="N665" i="3"/>
  <c r="L665" i="3"/>
  <c r="O665" i="3" s="1"/>
  <c r="J665" i="3"/>
  <c r="I665" i="3"/>
  <c r="K665" i="3" s="1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O651" i="3" s="1"/>
  <c r="I651" i="3"/>
  <c r="K651" i="3" s="1"/>
  <c r="N650" i="3"/>
  <c r="L650" i="3"/>
  <c r="O650" i="3" s="1"/>
  <c r="J650" i="3"/>
  <c r="I650" i="3"/>
  <c r="K650" i="3" s="1"/>
  <c r="N649" i="3"/>
  <c r="L649" i="3"/>
  <c r="O649" i="3" s="1"/>
  <c r="J649" i="3"/>
  <c r="I649" i="3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K633" i="3" s="1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5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P330" i="3"/>
  <c r="O330" i="3"/>
  <c r="N330" i="3"/>
  <c r="M330" i="3"/>
  <c r="L330" i="3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N311" i="3"/>
  <c r="M311" i="3"/>
  <c r="P311" i="3" s="1"/>
  <c r="L311" i="3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O293" i="3"/>
  <c r="P291" i="3"/>
  <c r="O291" i="3"/>
  <c r="N291" i="3"/>
  <c r="M291" i="3"/>
  <c r="L291" i="3"/>
  <c r="J289" i="3"/>
  <c r="I289" i="3"/>
  <c r="J287" i="3"/>
  <c r="J286" i="3"/>
  <c r="J285" i="3"/>
  <c r="I285" i="3"/>
  <c r="J284" i="3"/>
  <c r="J283" i="3"/>
  <c r="J282" i="3"/>
  <c r="J281" i="3"/>
  <c r="N279" i="3"/>
  <c r="L279" i="3"/>
  <c r="L277" i="3"/>
  <c r="L276" i="3"/>
  <c r="N275" i="3"/>
  <c r="M275" i="3"/>
  <c r="M273" i="3" s="1"/>
  <c r="O274" i="3"/>
  <c r="O272" i="3"/>
  <c r="N272" i="3"/>
  <c r="M272" i="3"/>
  <c r="L272" i="3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N251" i="3"/>
  <c r="M251" i="3"/>
  <c r="P251" i="3" s="1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O228" i="3" s="1"/>
  <c r="L226" i="3"/>
  <c r="L225" i="3"/>
  <c r="N224" i="3"/>
  <c r="M224" i="3"/>
  <c r="P224" i="3" s="1"/>
  <c r="O223" i="3"/>
  <c r="P221" i="3"/>
  <c r="N221" i="3"/>
  <c r="M221" i="3"/>
  <c r="L221" i="3"/>
  <c r="O221" i="3" s="1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M140" i="3" s="1"/>
  <c r="O143" i="3"/>
  <c r="P141" i="3"/>
  <c r="O141" i="3"/>
  <c r="N141" i="3"/>
  <c r="M141" i="3"/>
  <c r="L141" i="3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O121" i="3"/>
  <c r="P119" i="3"/>
  <c r="O119" i="3"/>
  <c r="N119" i="3"/>
  <c r="M119" i="3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P95" i="3"/>
  <c r="O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M66" i="3" s="1"/>
  <c r="O69" i="3"/>
  <c r="P67" i="3"/>
  <c r="N67" i="3"/>
  <c r="M67" i="3"/>
  <c r="L67" i="3"/>
  <c r="O67" i="3" s="1"/>
  <c r="J65" i="3"/>
  <c r="I65" i="3"/>
  <c r="J64" i="3"/>
  <c r="I64" i="3"/>
  <c r="N61" i="3"/>
  <c r="L61" i="3"/>
  <c r="L59" i="3"/>
  <c r="L58" i="3"/>
  <c r="N57" i="3"/>
  <c r="M57" i="3"/>
  <c r="O54" i="3"/>
  <c r="N54" i="3"/>
  <c r="M54" i="3"/>
  <c r="P54" i="3" s="1"/>
  <c r="L54" i="3"/>
  <c r="N49" i="3"/>
  <c r="L49" i="3"/>
  <c r="O49" i="3" s="1"/>
  <c r="L47" i="3"/>
  <c r="L46" i="3"/>
  <c r="N45" i="3"/>
  <c r="M45" i="3"/>
  <c r="M43" i="3" s="1"/>
  <c r="P42" i="3"/>
  <c r="N42" i="3"/>
  <c r="M42" i="3"/>
  <c r="L42" i="3"/>
  <c r="P36" i="3"/>
  <c r="O36" i="3"/>
  <c r="P35" i="3"/>
  <c r="O35" i="3"/>
  <c r="M34" i="3"/>
  <c r="P34" i="3" s="1"/>
  <c r="P33" i="3"/>
  <c r="M33" i="3"/>
  <c r="M32" i="3"/>
  <c r="P32" i="3" s="1"/>
  <c r="M31" i="3"/>
  <c r="M30" i="3"/>
  <c r="P30" i="3" s="1"/>
  <c r="O25" i="3"/>
  <c r="N25" i="3"/>
  <c r="N19" i="3" s="1"/>
  <c r="M25" i="3"/>
  <c r="P25" i="3" s="1"/>
  <c r="L25" i="3"/>
  <c r="N24" i="3"/>
  <c r="M24" i="3"/>
  <c r="N23" i="3"/>
  <c r="M23" i="3"/>
  <c r="P21" i="3"/>
  <c r="O21" i="3"/>
  <c r="N21" i="3"/>
  <c r="M21" i="3"/>
  <c r="M19" i="3" s="1"/>
  <c r="P19" i="3" s="1"/>
  <c r="L21" i="3"/>
  <c r="O19" i="3"/>
  <c r="L19" i="3"/>
  <c r="L15" i="3"/>
  <c r="O15" i="3" s="1"/>
  <c r="J677" i="2"/>
  <c r="J676" i="2"/>
  <c r="J675" i="2"/>
  <c r="J674" i="2"/>
  <c r="J673" i="2"/>
  <c r="J672" i="2"/>
  <c r="N671" i="2"/>
  <c r="L671" i="2"/>
  <c r="I671" i="2"/>
  <c r="K671" i="2" s="1"/>
  <c r="J670" i="2"/>
  <c r="J669" i="2"/>
  <c r="N668" i="2"/>
  <c r="L668" i="2"/>
  <c r="O668" i="2" s="1"/>
  <c r="J668" i="2"/>
  <c r="I668" i="2"/>
  <c r="J667" i="2"/>
  <c r="J666" i="2"/>
  <c r="N665" i="2"/>
  <c r="L665" i="2"/>
  <c r="J665" i="2"/>
  <c r="I665" i="2"/>
  <c r="J663" i="2"/>
  <c r="I663" i="2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N649" i="2"/>
  <c r="L649" i="2"/>
  <c r="O649" i="2" s="1"/>
  <c r="J649" i="2"/>
  <c r="I649" i="2"/>
  <c r="K649" i="2" s="1"/>
  <c r="N648" i="2"/>
  <c r="L648" i="2"/>
  <c r="O648" i="2" s="1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K632" i="2" s="1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J593" i="2"/>
  <c r="I593" i="2"/>
  <c r="K593" i="2" s="1"/>
  <c r="J592" i="2"/>
  <c r="I592" i="2"/>
  <c r="K592" i="2" s="1"/>
  <c r="J591" i="2"/>
  <c r="I591" i="2"/>
  <c r="K591" i="2" s="1"/>
  <c r="J590" i="2"/>
  <c r="I590" i="2"/>
  <c r="J589" i="2"/>
  <c r="I589" i="2"/>
  <c r="K589" i="2" s="1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K580" i="2" s="1"/>
  <c r="J579" i="2"/>
  <c r="I579" i="2"/>
  <c r="J578" i="2"/>
  <c r="I578" i="2"/>
  <c r="K578" i="2" s="1"/>
  <c r="J577" i="2"/>
  <c r="I577" i="2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N559" i="2"/>
  <c r="N558" i="2"/>
  <c r="N557" i="2"/>
  <c r="N556" i="2"/>
  <c r="N555" i="2"/>
  <c r="L555" i="2"/>
  <c r="O555" i="2" s="1"/>
  <c r="N554" i="2"/>
  <c r="L554" i="2"/>
  <c r="N553" i="2"/>
  <c r="L553" i="2"/>
  <c r="O553" i="2" s="1"/>
  <c r="N552" i="2"/>
  <c r="L552" i="2"/>
  <c r="O552" i="2" s="1"/>
  <c r="N551" i="2"/>
  <c r="L551" i="2"/>
  <c r="O551" i="2" s="1"/>
  <c r="J551" i="2"/>
  <c r="I551" i="2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J511" i="2"/>
  <c r="I511" i="2"/>
  <c r="K511" i="2" s="1"/>
  <c r="J510" i="2"/>
  <c r="I510" i="2"/>
  <c r="J509" i="2"/>
  <c r="I509" i="2"/>
  <c r="K509" i="2" s="1"/>
  <c r="J508" i="2"/>
  <c r="I508" i="2"/>
  <c r="K508" i="2" s="1"/>
  <c r="J507" i="2"/>
  <c r="I507" i="2"/>
  <c r="K507" i="2" s="1"/>
  <c r="J506" i="2"/>
  <c r="I506" i="2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J500" i="2"/>
  <c r="I500" i="2"/>
  <c r="J499" i="2"/>
  <c r="I499" i="2"/>
  <c r="J498" i="2"/>
  <c r="I498" i="2"/>
  <c r="J497" i="2"/>
  <c r="I497" i="2"/>
  <c r="J496" i="2"/>
  <c r="I496" i="2"/>
  <c r="K496" i="2" s="1"/>
  <c r="J495" i="2"/>
  <c r="I495" i="2"/>
  <c r="J494" i="2"/>
  <c r="I494" i="2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J370" i="2"/>
  <c r="I370" i="2"/>
  <c r="K370" i="2" s="1"/>
  <c r="J369" i="2"/>
  <c r="I369" i="2"/>
  <c r="J368" i="2"/>
  <c r="I368" i="2"/>
  <c r="K368" i="2" s="1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J350" i="2"/>
  <c r="I350" i="2"/>
  <c r="K350" i="2" s="1"/>
  <c r="N349" i="2"/>
  <c r="L349" i="2"/>
  <c r="O349" i="2" s="1"/>
  <c r="J349" i="2"/>
  <c r="I349" i="2"/>
  <c r="N347" i="2"/>
  <c r="L347" i="2"/>
  <c r="J346" i="2"/>
  <c r="I346" i="2"/>
  <c r="J345" i="2"/>
  <c r="I345" i="2"/>
  <c r="J344" i="2"/>
  <c r="I344" i="2"/>
  <c r="K344" i="2" s="1"/>
  <c r="J343" i="2"/>
  <c r="I343" i="2"/>
  <c r="J342" i="2"/>
  <c r="I342" i="2"/>
  <c r="J341" i="2"/>
  <c r="I341" i="2"/>
  <c r="J340" i="2"/>
  <c r="I340" i="2"/>
  <c r="J339" i="2"/>
  <c r="I339" i="2"/>
  <c r="K339" i="2" s="1"/>
  <c r="N337" i="2"/>
  <c r="L337" i="2"/>
  <c r="M337" i="2" s="1"/>
  <c r="L335" i="2"/>
  <c r="L334" i="2"/>
  <c r="N333" i="2"/>
  <c r="M333" i="2"/>
  <c r="O332" i="2"/>
  <c r="O330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M298" i="2" s="1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P272" i="2"/>
  <c r="O272" i="2"/>
  <c r="N272" i="2"/>
  <c r="M272" i="2"/>
  <c r="L272" i="2"/>
  <c r="J270" i="2"/>
  <c r="I270" i="2"/>
  <c r="K270" i="2" s="1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O251" i="2"/>
  <c r="N251" i="2"/>
  <c r="M251" i="2"/>
  <c r="P251" i="2" s="1"/>
  <c r="L251" i="2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O143" i="2"/>
  <c r="O141" i="2"/>
  <c r="N141" i="2"/>
  <c r="M141" i="2"/>
  <c r="L141" i="2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N119" i="2"/>
  <c r="M119" i="2"/>
  <c r="L119" i="2"/>
  <c r="J117" i="2"/>
  <c r="I117" i="2"/>
  <c r="K117" i="2" s="1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O97" i="2"/>
  <c r="O95" i="2"/>
  <c r="N95" i="2"/>
  <c r="M95" i="2"/>
  <c r="L95" i="2"/>
  <c r="J93" i="2"/>
  <c r="I93" i="2"/>
  <c r="K93" i="2" s="1"/>
  <c r="J92" i="2"/>
  <c r="I92" i="2"/>
  <c r="K92" i="2" s="1"/>
  <c r="J90" i="2"/>
  <c r="J89" i="2"/>
  <c r="J88" i="2"/>
  <c r="I88" i="2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O67" i="2"/>
  <c r="N67" i="2"/>
  <c r="M67" i="2"/>
  <c r="L67" i="2"/>
  <c r="J65" i="2"/>
  <c r="I65" i="2"/>
  <c r="J64" i="2"/>
  <c r="I64" i="2"/>
  <c r="N61" i="2"/>
  <c r="L61" i="2"/>
  <c r="O61" i="2" s="1"/>
  <c r="L59" i="2"/>
  <c r="L58" i="2"/>
  <c r="N57" i="2"/>
  <c r="M57" i="2"/>
  <c r="P54" i="2"/>
  <c r="O54" i="2"/>
  <c r="N54" i="2"/>
  <c r="M54" i="2"/>
  <c r="L54" i="2"/>
  <c r="N49" i="2"/>
  <c r="L49" i="2"/>
  <c r="L47" i="2"/>
  <c r="L46" i="2"/>
  <c r="N45" i="2"/>
  <c r="M45" i="2"/>
  <c r="M43" i="2" s="1"/>
  <c r="M41" i="2" s="1"/>
  <c r="N42" i="2"/>
  <c r="M42" i="2"/>
  <c r="P42" i="2" s="1"/>
  <c r="L42" i="2"/>
  <c r="P36" i="2"/>
  <c r="O36" i="2"/>
  <c r="P35" i="2"/>
  <c r="O35" i="2"/>
  <c r="M34" i="2"/>
  <c r="P34" i="2" s="1"/>
  <c r="M33" i="2"/>
  <c r="P33" i="2" s="1"/>
  <c r="P32" i="2"/>
  <c r="M32" i="2"/>
  <c r="M30" i="2" s="1"/>
  <c r="P30" i="2" s="1"/>
  <c r="M31" i="2"/>
  <c r="P31" i="2" s="1"/>
  <c r="M29" i="2"/>
  <c r="M28" i="2" s="1"/>
  <c r="P28" i="2" s="1"/>
  <c r="N25" i="2"/>
  <c r="N15" i="2" s="1"/>
  <c r="M25" i="2"/>
  <c r="L25" i="2"/>
  <c r="O25" i="2" s="1"/>
  <c r="P24" i="2"/>
  <c r="N24" i="2"/>
  <c r="M24" i="2"/>
  <c r="M14" i="2" s="1"/>
  <c r="P14" i="2" s="1"/>
  <c r="N23" i="2"/>
  <c r="M23" i="2"/>
  <c r="P23" i="2" s="1"/>
  <c r="P21" i="2"/>
  <c r="N21" i="2"/>
  <c r="M21" i="2"/>
  <c r="L21" i="2"/>
  <c r="N19" i="2"/>
  <c r="M19" i="2"/>
  <c r="O15" i="2"/>
  <c r="L15" i="2"/>
  <c r="M13" i="2"/>
  <c r="P13" i="2" s="1"/>
  <c r="P11" i="2"/>
  <c r="M11" i="2"/>
  <c r="J670" i="1"/>
  <c r="J669" i="1"/>
  <c r="O639" i="1"/>
  <c r="O637" i="1"/>
  <c r="I548" i="1"/>
  <c r="K548" i="1" s="1"/>
  <c r="I365" i="1"/>
  <c r="K365" i="1" s="1"/>
  <c r="L336" i="1"/>
  <c r="O332" i="1"/>
  <c r="N332" i="1"/>
  <c r="M332" i="1"/>
  <c r="L332" i="1"/>
  <c r="N330" i="1"/>
  <c r="M330" i="1"/>
  <c r="P330" i="1" s="1"/>
  <c r="L317" i="1"/>
  <c r="N313" i="1"/>
  <c r="M313" i="1"/>
  <c r="L313" i="1"/>
  <c r="O313" i="1" s="1"/>
  <c r="J307" i="1"/>
  <c r="L297" i="1"/>
  <c r="N293" i="1"/>
  <c r="M293" i="1"/>
  <c r="L293" i="1"/>
  <c r="O293" i="1" s="1"/>
  <c r="O291" i="1"/>
  <c r="N291" i="1"/>
  <c r="L291" i="1"/>
  <c r="L278" i="1"/>
  <c r="N274" i="1"/>
  <c r="M274" i="1"/>
  <c r="L274" i="1"/>
  <c r="O274" i="1" s="1"/>
  <c r="O272" i="1"/>
  <c r="N272" i="1"/>
  <c r="L272" i="1"/>
  <c r="L257" i="1"/>
  <c r="O253" i="1"/>
  <c r="N253" i="1"/>
  <c r="N21" i="1" s="1"/>
  <c r="M253" i="1"/>
  <c r="L253" i="1"/>
  <c r="M251" i="1"/>
  <c r="P251" i="1" s="1"/>
  <c r="J240" i="1"/>
  <c r="L227" i="1"/>
  <c r="N223" i="1"/>
  <c r="M223" i="1"/>
  <c r="L223" i="1"/>
  <c r="O223" i="1" s="1"/>
  <c r="N221" i="1"/>
  <c r="L221" i="1"/>
  <c r="O221" i="1" s="1"/>
  <c r="J214" i="1"/>
  <c r="I214" i="1"/>
  <c r="J198" i="1"/>
  <c r="I175" i="1"/>
  <c r="I174" i="1"/>
  <c r="I172" i="1"/>
  <c r="I171" i="1"/>
  <c r="I170" i="1"/>
  <c r="L147" i="1"/>
  <c r="N143" i="1"/>
  <c r="M143" i="1"/>
  <c r="L143" i="1"/>
  <c r="O143" i="1" s="1"/>
  <c r="P141" i="1"/>
  <c r="N141" i="1"/>
  <c r="M141" i="1"/>
  <c r="L125" i="1"/>
  <c r="O121" i="1"/>
  <c r="N121" i="1"/>
  <c r="M121" i="1"/>
  <c r="L121" i="1"/>
  <c r="O119" i="1"/>
  <c r="N119" i="1"/>
  <c r="L119" i="1"/>
  <c r="L101" i="1"/>
  <c r="O97" i="1"/>
  <c r="N97" i="1"/>
  <c r="M97" i="1"/>
  <c r="L97" i="1"/>
  <c r="N95" i="1"/>
  <c r="M95" i="1"/>
  <c r="P95" i="1" s="1"/>
  <c r="L95" i="1"/>
  <c r="O95" i="1" s="1"/>
  <c r="L73" i="1"/>
  <c r="N69" i="1"/>
  <c r="M69" i="1"/>
  <c r="M21" i="1" s="1"/>
  <c r="L69" i="1"/>
  <c r="L21" i="1" s="1"/>
  <c r="P67" i="1"/>
  <c r="O67" i="1"/>
  <c r="N67" i="1"/>
  <c r="M67" i="1"/>
  <c r="L67" i="1"/>
  <c r="L60" i="1"/>
  <c r="L56" i="1"/>
  <c r="L54" i="1" s="1"/>
  <c r="N54" i="1"/>
  <c r="M54" i="1"/>
  <c r="P54" i="1" s="1"/>
  <c r="L48" i="1"/>
  <c r="L25" i="1" s="1"/>
  <c r="L44" i="1"/>
  <c r="N42" i="1"/>
  <c r="M42" i="1"/>
  <c r="L42" i="1"/>
  <c r="P36" i="1"/>
  <c r="O36" i="1"/>
  <c r="N36" i="1"/>
  <c r="L36" i="1"/>
  <c r="P35" i="1"/>
  <c r="O35" i="1"/>
  <c r="P34" i="1"/>
  <c r="M34" i="1"/>
  <c r="M33" i="1"/>
  <c r="P33" i="1" s="1"/>
  <c r="M32" i="1"/>
  <c r="M30" i="1" s="1"/>
  <c r="P30" i="1" s="1"/>
  <c r="M31" i="1"/>
  <c r="M29" i="1" s="1"/>
  <c r="N25" i="1"/>
  <c r="N15" i="1" s="1"/>
  <c r="M25" i="1"/>
  <c r="M15" i="1" s="1"/>
  <c r="P15" i="1" s="1"/>
  <c r="N24" i="1"/>
  <c r="M24" i="1"/>
  <c r="P24" i="1" s="1"/>
  <c r="P23" i="1"/>
  <c r="N23" i="1"/>
  <c r="M23" i="1"/>
  <c r="M13" i="1"/>
  <c r="P13" i="1" s="1"/>
  <c r="K619" i="11" l="1"/>
  <c r="K564" i="9"/>
  <c r="K597" i="9"/>
  <c r="O599" i="9"/>
  <c r="L45" i="10"/>
  <c r="L43" i="10" s="1"/>
  <c r="N68" i="12"/>
  <c r="N66" i="12" s="1"/>
  <c r="N142" i="12"/>
  <c r="N140" i="12" s="1"/>
  <c r="N331" i="3"/>
  <c r="N329" i="3" s="1"/>
  <c r="K375" i="10"/>
  <c r="K481" i="11"/>
  <c r="K564" i="11"/>
  <c r="K629" i="11"/>
  <c r="K229" i="12"/>
  <c r="K235" i="12"/>
  <c r="K498" i="12"/>
  <c r="O568" i="12"/>
  <c r="O601" i="12"/>
  <c r="K593" i="13"/>
  <c r="K618" i="15"/>
  <c r="N68" i="2"/>
  <c r="N66" i="2" s="1"/>
  <c r="O537" i="2"/>
  <c r="K372" i="3"/>
  <c r="K612" i="14"/>
  <c r="O437" i="15"/>
  <c r="K455" i="15"/>
  <c r="O457" i="15"/>
  <c r="K199" i="12"/>
  <c r="K219" i="5"/>
  <c r="K449" i="5"/>
  <c r="O537" i="5"/>
  <c r="O580" i="5"/>
  <c r="K591" i="5"/>
  <c r="K635" i="5"/>
  <c r="K149" i="6"/>
  <c r="K158" i="6"/>
  <c r="K289" i="2"/>
  <c r="K398" i="2"/>
  <c r="O439" i="2"/>
  <c r="K450" i="2"/>
  <c r="O459" i="2"/>
  <c r="N273" i="5"/>
  <c r="N271" i="5" s="1"/>
  <c r="J651" i="3"/>
  <c r="N142" i="3"/>
  <c r="N140" i="3" s="1"/>
  <c r="P140" i="3" s="1"/>
  <c r="N312" i="3"/>
  <c r="M273" i="4"/>
  <c r="M271" i="4" s="1"/>
  <c r="P271" i="4" s="1"/>
  <c r="L294" i="7"/>
  <c r="O294" i="7" s="1"/>
  <c r="K380" i="14"/>
  <c r="K401" i="14"/>
  <c r="K593" i="5"/>
  <c r="K381" i="6"/>
  <c r="K428" i="6"/>
  <c r="K435" i="6"/>
  <c r="N292" i="12"/>
  <c r="N290" i="12" s="1"/>
  <c r="N96" i="8"/>
  <c r="N94" i="8" s="1"/>
  <c r="K615" i="6"/>
  <c r="O406" i="14"/>
  <c r="K635" i="14"/>
  <c r="K630" i="3"/>
  <c r="K110" i="4"/>
  <c r="K113" i="4"/>
  <c r="O601" i="6"/>
  <c r="L45" i="7"/>
  <c r="L144" i="7"/>
  <c r="O144" i="7" s="1"/>
  <c r="K533" i="7"/>
  <c r="O535" i="7"/>
  <c r="O564" i="7"/>
  <c r="L254" i="10"/>
  <c r="O254" i="10" s="1"/>
  <c r="K380" i="10"/>
  <c r="K417" i="10"/>
  <c r="K429" i="10"/>
  <c r="J671" i="15"/>
  <c r="L458" i="1"/>
  <c r="O458" i="1" s="1"/>
  <c r="J349" i="1"/>
  <c r="J391" i="1"/>
  <c r="K343" i="8"/>
  <c r="K619" i="8"/>
  <c r="L294" i="13"/>
  <c r="O294" i="13" s="1"/>
  <c r="P333" i="13"/>
  <c r="K498" i="15"/>
  <c r="K64" i="2"/>
  <c r="L70" i="2"/>
  <c r="L68" i="2" s="1"/>
  <c r="L66" i="2" s="1"/>
  <c r="N222" i="7"/>
  <c r="N55" i="8"/>
  <c r="P55" i="8" s="1"/>
  <c r="M68" i="8"/>
  <c r="P68" i="8" s="1"/>
  <c r="M312" i="8"/>
  <c r="P312" i="8" s="1"/>
  <c r="L45" i="15"/>
  <c r="K189" i="15"/>
  <c r="K564" i="15"/>
  <c r="O566" i="15"/>
  <c r="K629" i="15"/>
  <c r="K474" i="4"/>
  <c r="O568" i="4"/>
  <c r="L144" i="6"/>
  <c r="O144" i="6" s="1"/>
  <c r="K164" i="7"/>
  <c r="K173" i="7"/>
  <c r="K200" i="7"/>
  <c r="L254" i="7"/>
  <c r="O254" i="7" s="1"/>
  <c r="K340" i="7"/>
  <c r="L122" i="8"/>
  <c r="O122" i="8" s="1"/>
  <c r="K376" i="8"/>
  <c r="K380" i="8"/>
  <c r="O385" i="8"/>
  <c r="K401" i="8"/>
  <c r="O406" i="8"/>
  <c r="K267" i="3"/>
  <c r="K564" i="8"/>
  <c r="O566" i="8"/>
  <c r="K597" i="8"/>
  <c r="K632" i="8"/>
  <c r="N120" i="14"/>
  <c r="N118" i="14" s="1"/>
  <c r="N222" i="14"/>
  <c r="N220" i="14" s="1"/>
  <c r="L70" i="7"/>
  <c r="L224" i="8"/>
  <c r="O224" i="8" s="1"/>
  <c r="K377" i="8"/>
  <c r="O401" i="8"/>
  <c r="O404" i="8"/>
  <c r="K418" i="8"/>
  <c r="K421" i="8"/>
  <c r="K424" i="8"/>
  <c r="N68" i="13"/>
  <c r="N66" i="13" s="1"/>
  <c r="K229" i="14"/>
  <c r="K235" i="14"/>
  <c r="M292" i="12"/>
  <c r="K306" i="2"/>
  <c r="K265" i="3"/>
  <c r="K138" i="7"/>
  <c r="K132" i="14"/>
  <c r="N292" i="14"/>
  <c r="N290" i="14" s="1"/>
  <c r="L254" i="14"/>
  <c r="O254" i="14" s="1"/>
  <c r="K381" i="5"/>
  <c r="N333" i="1"/>
  <c r="J345" i="1"/>
  <c r="K420" i="8"/>
  <c r="K449" i="8"/>
  <c r="O455" i="8"/>
  <c r="L294" i="10"/>
  <c r="N273" i="14"/>
  <c r="N271" i="14" s="1"/>
  <c r="K65" i="2"/>
  <c r="K80" i="2"/>
  <c r="K264" i="4"/>
  <c r="J211" i="1"/>
  <c r="K345" i="6"/>
  <c r="N312" i="7"/>
  <c r="N310" i="7" s="1"/>
  <c r="K416" i="8"/>
  <c r="N120" i="2"/>
  <c r="N118" i="2" s="1"/>
  <c r="J370" i="1"/>
  <c r="L385" i="1"/>
  <c r="L406" i="1"/>
  <c r="I432" i="1"/>
  <c r="L455" i="1"/>
  <c r="I523" i="1"/>
  <c r="K423" i="6"/>
  <c r="M292" i="10"/>
  <c r="P292" i="10" s="1"/>
  <c r="M312" i="10"/>
  <c r="P312" i="10" s="1"/>
  <c r="J111" i="1"/>
  <c r="J282" i="1"/>
  <c r="K199" i="14"/>
  <c r="L294" i="14"/>
  <c r="O294" i="14" s="1"/>
  <c r="L47" i="1"/>
  <c r="J134" i="1"/>
  <c r="L256" i="1"/>
  <c r="J263" i="1"/>
  <c r="J266" i="1"/>
  <c r="J270" i="1"/>
  <c r="N273" i="2"/>
  <c r="N271" i="2" s="1"/>
  <c r="J285" i="1"/>
  <c r="J301" i="1"/>
  <c r="L316" i="1"/>
  <c r="K345" i="2"/>
  <c r="L351" i="1"/>
  <c r="O351" i="1" s="1"/>
  <c r="J369" i="1"/>
  <c r="J396" i="1"/>
  <c r="J422" i="1"/>
  <c r="J425" i="1"/>
  <c r="J431" i="1"/>
  <c r="N441" i="1"/>
  <c r="J448" i="1"/>
  <c r="J451" i="1"/>
  <c r="I93" i="1"/>
  <c r="I186" i="1"/>
  <c r="N407" i="1"/>
  <c r="P57" i="4"/>
  <c r="L72" i="1"/>
  <c r="J79" i="1"/>
  <c r="J82" i="1"/>
  <c r="J85" i="1"/>
  <c r="I109" i="1"/>
  <c r="N126" i="1"/>
  <c r="J132" i="1"/>
  <c r="J138" i="1"/>
  <c r="I149" i="1"/>
  <c r="K189" i="5"/>
  <c r="O568" i="7"/>
  <c r="O601" i="7"/>
  <c r="K634" i="7"/>
  <c r="K92" i="9"/>
  <c r="K375" i="9"/>
  <c r="K381" i="9"/>
  <c r="K573" i="9"/>
  <c r="K580" i="9"/>
  <c r="P45" i="10"/>
  <c r="L57" i="10"/>
  <c r="O568" i="11"/>
  <c r="K573" i="11"/>
  <c r="K93" i="12"/>
  <c r="O385" i="12"/>
  <c r="K417" i="12"/>
  <c r="K420" i="12"/>
  <c r="K426" i="12"/>
  <c r="I532" i="1"/>
  <c r="I635" i="1"/>
  <c r="J156" i="1"/>
  <c r="J161" i="1"/>
  <c r="J170" i="1"/>
  <c r="J175" i="1"/>
  <c r="J219" i="1"/>
  <c r="I401" i="1"/>
  <c r="J412" i="1"/>
  <c r="L98" i="5"/>
  <c r="O98" i="5" s="1"/>
  <c r="O599" i="5"/>
  <c r="K432" i="9"/>
  <c r="K449" i="9"/>
  <c r="N463" i="1"/>
  <c r="J472" i="1"/>
  <c r="J490" i="1"/>
  <c r="K341" i="15"/>
  <c r="I375" i="1"/>
  <c r="I431" i="1"/>
  <c r="I465" i="1"/>
  <c r="I529" i="1"/>
  <c r="L580" i="1"/>
  <c r="L74" i="1"/>
  <c r="O74" i="1" s="1"/>
  <c r="J78" i="1"/>
  <c r="K380" i="2"/>
  <c r="J64" i="1"/>
  <c r="I138" i="1"/>
  <c r="P224" i="6"/>
  <c r="I525" i="1"/>
  <c r="K345" i="10"/>
  <c r="K349" i="10"/>
  <c r="O49" i="11"/>
  <c r="L294" i="11"/>
  <c r="O294" i="11" s="1"/>
  <c r="N96" i="14"/>
  <c r="N94" i="14" s="1"/>
  <c r="I526" i="1"/>
  <c r="I376" i="1"/>
  <c r="I417" i="1"/>
  <c r="N331" i="6"/>
  <c r="P331" i="6" s="1"/>
  <c r="J651" i="8"/>
  <c r="J624" i="1"/>
  <c r="M43" i="11"/>
  <c r="M41" i="11" s="1"/>
  <c r="K149" i="11"/>
  <c r="I520" i="1"/>
  <c r="N602" i="1"/>
  <c r="I629" i="1"/>
  <c r="L382" i="1"/>
  <c r="O382" i="1" s="1"/>
  <c r="P122" i="3"/>
  <c r="K368" i="7"/>
  <c r="J671" i="9"/>
  <c r="J514" i="1"/>
  <c r="J544" i="1"/>
  <c r="K235" i="13"/>
  <c r="J113" i="1"/>
  <c r="K620" i="14"/>
  <c r="J243" i="1"/>
  <c r="I517" i="1"/>
  <c r="L45" i="2"/>
  <c r="L43" i="2" s="1"/>
  <c r="L41" i="2" s="1"/>
  <c r="O582" i="2"/>
  <c r="K426" i="3"/>
  <c r="N386" i="1"/>
  <c r="O404" i="4"/>
  <c r="I418" i="1"/>
  <c r="I421" i="1"/>
  <c r="K464" i="4"/>
  <c r="K473" i="4"/>
  <c r="K482" i="4"/>
  <c r="K497" i="4"/>
  <c r="O535" i="4"/>
  <c r="O568" i="6"/>
  <c r="K573" i="6"/>
  <c r="K372" i="7"/>
  <c r="K375" i="7"/>
  <c r="K419" i="7"/>
  <c r="K422" i="7"/>
  <c r="K465" i="7"/>
  <c r="K422" i="8"/>
  <c r="K497" i="8"/>
  <c r="K345" i="9"/>
  <c r="K372" i="12"/>
  <c r="K375" i="12"/>
  <c r="K381" i="12"/>
  <c r="K416" i="12"/>
  <c r="O564" i="12"/>
  <c r="N142" i="13"/>
  <c r="N140" i="13" s="1"/>
  <c r="K176" i="13"/>
  <c r="K185" i="13"/>
  <c r="K199" i="13"/>
  <c r="K289" i="13"/>
  <c r="O404" i="13"/>
  <c r="K427" i="13"/>
  <c r="O459" i="13"/>
  <c r="K377" i="15"/>
  <c r="O380" i="15"/>
  <c r="O383" i="15"/>
  <c r="K398" i="15"/>
  <c r="O401" i="15"/>
  <c r="K418" i="15"/>
  <c r="K427" i="15"/>
  <c r="K425" i="15"/>
  <c r="I425" i="1"/>
  <c r="K471" i="15"/>
  <c r="I471" i="1"/>
  <c r="K471" i="1" s="1"/>
  <c r="L552" i="1"/>
  <c r="O552" i="1" s="1"/>
  <c r="J174" i="1"/>
  <c r="J302" i="1"/>
  <c r="K561" i="7"/>
  <c r="I561" i="1"/>
  <c r="K561" i="1" s="1"/>
  <c r="K371" i="9"/>
  <c r="I367" i="9"/>
  <c r="K367" i="9" s="1"/>
  <c r="K371" i="14"/>
  <c r="I367" i="14"/>
  <c r="K367" i="14" s="1"/>
  <c r="O436" i="14"/>
  <c r="L31" i="14"/>
  <c r="J84" i="1"/>
  <c r="J503" i="1"/>
  <c r="N535" i="1"/>
  <c r="K579" i="2"/>
  <c r="I579" i="1"/>
  <c r="K579" i="1" s="1"/>
  <c r="J650" i="1"/>
  <c r="M45" i="1"/>
  <c r="J481" i="1"/>
  <c r="J300" i="1"/>
  <c r="I328" i="1"/>
  <c r="K671" i="10"/>
  <c r="I671" i="1"/>
  <c r="K671" i="1" s="1"/>
  <c r="J515" i="1"/>
  <c r="K285" i="5"/>
  <c r="I285" i="1"/>
  <c r="K285" i="1" s="1"/>
  <c r="M120" i="9"/>
  <c r="P120" i="9" s="1"/>
  <c r="P122" i="9"/>
  <c r="J433" i="1"/>
  <c r="K229" i="13"/>
  <c r="I229" i="1"/>
  <c r="P70" i="14"/>
  <c r="M68" i="14"/>
  <c r="P68" i="14" s="1"/>
  <c r="O649" i="9"/>
  <c r="L649" i="1"/>
  <c r="O49" i="2"/>
  <c r="L49" i="1"/>
  <c r="L61" i="1"/>
  <c r="O61" i="1" s="1"/>
  <c r="M294" i="1"/>
  <c r="I483" i="1"/>
  <c r="K483" i="1" s="1"/>
  <c r="K551" i="2"/>
  <c r="I551" i="1"/>
  <c r="K551" i="1" s="1"/>
  <c r="N273" i="4"/>
  <c r="N271" i="4" s="1"/>
  <c r="N275" i="1"/>
  <c r="J287" i="1"/>
  <c r="J202" i="1"/>
  <c r="O318" i="8"/>
  <c r="L318" i="1"/>
  <c r="J398" i="1"/>
  <c r="J502" i="1"/>
  <c r="K88" i="2"/>
  <c r="J108" i="1"/>
  <c r="J115" i="1"/>
  <c r="J231" i="1"/>
  <c r="M252" i="2"/>
  <c r="M250" i="2" s="1"/>
  <c r="P250" i="2" s="1"/>
  <c r="I499" i="1"/>
  <c r="N564" i="1"/>
  <c r="L597" i="1"/>
  <c r="K619" i="2"/>
  <c r="I614" i="1"/>
  <c r="K158" i="4"/>
  <c r="I624" i="1"/>
  <c r="J671" i="5"/>
  <c r="N439" i="1"/>
  <c r="J454" i="1"/>
  <c r="K349" i="8"/>
  <c r="L224" i="9"/>
  <c r="O224" i="9" s="1"/>
  <c r="K418" i="9"/>
  <c r="K430" i="9"/>
  <c r="J659" i="1"/>
  <c r="M98" i="1"/>
  <c r="J104" i="1"/>
  <c r="I112" i="1"/>
  <c r="K634" i="13"/>
  <c r="J671" i="13"/>
  <c r="P333" i="14"/>
  <c r="O439" i="14"/>
  <c r="J546" i="1"/>
  <c r="N571" i="1"/>
  <c r="L294" i="15"/>
  <c r="O294" i="15" s="1"/>
  <c r="L314" i="15"/>
  <c r="O314" i="15" s="1"/>
  <c r="J630" i="1"/>
  <c r="I86" i="1"/>
  <c r="J216" i="1"/>
  <c r="L226" i="1"/>
  <c r="J232" i="1"/>
  <c r="J237" i="1"/>
  <c r="J249" i="1"/>
  <c r="J423" i="1"/>
  <c r="J426" i="1"/>
  <c r="N435" i="1"/>
  <c r="N438" i="1"/>
  <c r="N443" i="1"/>
  <c r="J449" i="1"/>
  <c r="J452" i="1"/>
  <c r="J466" i="1"/>
  <c r="J469" i="1"/>
  <c r="J475" i="1"/>
  <c r="J478" i="1"/>
  <c r="J484" i="1"/>
  <c r="J487" i="1"/>
  <c r="J493" i="1"/>
  <c r="J496" i="1"/>
  <c r="J499" i="1"/>
  <c r="J505" i="1"/>
  <c r="J508" i="1"/>
  <c r="J511" i="1"/>
  <c r="J520" i="1"/>
  <c r="J529" i="1"/>
  <c r="J543" i="1"/>
  <c r="N556" i="1"/>
  <c r="L568" i="1"/>
  <c r="N581" i="1"/>
  <c r="N600" i="1"/>
  <c r="N605" i="1"/>
  <c r="J611" i="1"/>
  <c r="K185" i="3"/>
  <c r="K416" i="3"/>
  <c r="K419" i="3"/>
  <c r="N120" i="4"/>
  <c r="N118" i="4" s="1"/>
  <c r="K425" i="5"/>
  <c r="N409" i="1"/>
  <c r="I416" i="1"/>
  <c r="I422" i="1"/>
  <c r="N68" i="8"/>
  <c r="N66" i="8" s="1"/>
  <c r="K328" i="10"/>
  <c r="L122" i="11"/>
  <c r="O122" i="11" s="1"/>
  <c r="K164" i="11"/>
  <c r="N252" i="12"/>
  <c r="N250" i="12" s="1"/>
  <c r="K381" i="14"/>
  <c r="K396" i="14"/>
  <c r="K402" i="14"/>
  <c r="K416" i="14"/>
  <c r="K428" i="14"/>
  <c r="O437" i="14"/>
  <c r="O457" i="14"/>
  <c r="K465" i="14"/>
  <c r="K474" i="14"/>
  <c r="N273" i="15"/>
  <c r="N271" i="15" s="1"/>
  <c r="L58" i="1"/>
  <c r="J89" i="1"/>
  <c r="I164" i="1"/>
  <c r="I173" i="1"/>
  <c r="J194" i="1"/>
  <c r="I200" i="1"/>
  <c r="J268" i="1"/>
  <c r="L276" i="1"/>
  <c r="J283" i="1"/>
  <c r="I309" i="1"/>
  <c r="N352" i="1"/>
  <c r="I371" i="1"/>
  <c r="K371" i="1" s="1"/>
  <c r="L383" i="1"/>
  <c r="L401" i="1"/>
  <c r="L404" i="1"/>
  <c r="J414" i="1"/>
  <c r="I424" i="1"/>
  <c r="K597" i="5"/>
  <c r="K189" i="6"/>
  <c r="N312" i="8"/>
  <c r="N310" i="8" s="1"/>
  <c r="K88" i="9"/>
  <c r="O102" i="9"/>
  <c r="K402" i="9"/>
  <c r="N252" i="11"/>
  <c r="N250" i="11" s="1"/>
  <c r="K635" i="13"/>
  <c r="J269" i="1"/>
  <c r="J364" i="1"/>
  <c r="J521" i="1"/>
  <c r="J530" i="1"/>
  <c r="K429" i="3"/>
  <c r="O435" i="3"/>
  <c r="N601" i="1"/>
  <c r="J608" i="1"/>
  <c r="J612" i="1"/>
  <c r="J618" i="1"/>
  <c r="J621" i="1"/>
  <c r="J631" i="1"/>
  <c r="J634" i="1"/>
  <c r="N142" i="5"/>
  <c r="N140" i="5" s="1"/>
  <c r="L275" i="5"/>
  <c r="O352" i="7"/>
  <c r="K401" i="7"/>
  <c r="N312" i="10"/>
  <c r="N310" i="10" s="1"/>
  <c r="K340" i="10"/>
  <c r="O352" i="10"/>
  <c r="K397" i="11"/>
  <c r="K200" i="13"/>
  <c r="K345" i="13"/>
  <c r="K349" i="13"/>
  <c r="O354" i="13"/>
  <c r="K375" i="13"/>
  <c r="K396" i="13"/>
  <c r="K573" i="14"/>
  <c r="O601" i="14"/>
  <c r="J155" i="1"/>
  <c r="J183" i="1"/>
  <c r="J196" i="1"/>
  <c r="K201" i="2"/>
  <c r="M224" i="1"/>
  <c r="K396" i="2"/>
  <c r="N460" i="1"/>
  <c r="K93" i="3"/>
  <c r="K270" i="3"/>
  <c r="K464" i="3"/>
  <c r="K473" i="3"/>
  <c r="K482" i="3"/>
  <c r="K497" i="3"/>
  <c r="K533" i="3"/>
  <c r="O535" i="3"/>
  <c r="K199" i="4"/>
  <c r="K420" i="4"/>
  <c r="K423" i="4"/>
  <c r="K429" i="4"/>
  <c r="K432" i="4"/>
  <c r="K597" i="4"/>
  <c r="K93" i="5"/>
  <c r="K112" i="5"/>
  <c r="O439" i="5"/>
  <c r="K464" i="5"/>
  <c r="K473" i="5"/>
  <c r="K482" i="5"/>
  <c r="K595" i="5"/>
  <c r="K630" i="5"/>
  <c r="K229" i="6"/>
  <c r="K235" i="6"/>
  <c r="K229" i="7"/>
  <c r="K473" i="7"/>
  <c r="K630" i="7"/>
  <c r="K633" i="7"/>
  <c r="K133" i="8"/>
  <c r="L144" i="8"/>
  <c r="O144" i="8" s="1"/>
  <c r="K417" i="9"/>
  <c r="K420" i="9"/>
  <c r="K423" i="9"/>
  <c r="K426" i="9"/>
  <c r="K429" i="9"/>
  <c r="N252" i="10"/>
  <c r="N250" i="10" s="1"/>
  <c r="O601" i="10"/>
  <c r="K229" i="11"/>
  <c r="K482" i="11"/>
  <c r="O564" i="11"/>
  <c r="K630" i="11"/>
  <c r="L224" i="12"/>
  <c r="O224" i="12" s="1"/>
  <c r="N331" i="13"/>
  <c r="N329" i="13" s="1"/>
  <c r="O406" i="13"/>
  <c r="K426" i="13"/>
  <c r="K622" i="13"/>
  <c r="K630" i="13"/>
  <c r="K341" i="14"/>
  <c r="O455" i="14"/>
  <c r="K285" i="15"/>
  <c r="K533" i="15"/>
  <c r="O564" i="15"/>
  <c r="I65" i="1"/>
  <c r="I132" i="1"/>
  <c r="L148" i="1"/>
  <c r="O148" i="1" s="1"/>
  <c r="L298" i="1"/>
  <c r="L353" i="1"/>
  <c r="O353" i="1" s="1"/>
  <c r="I475" i="1"/>
  <c r="K475" i="1" s="1"/>
  <c r="I505" i="1"/>
  <c r="K505" i="1" s="1"/>
  <c r="L537" i="1"/>
  <c r="L551" i="1"/>
  <c r="O551" i="1" s="1"/>
  <c r="L598" i="1"/>
  <c r="O598" i="1" s="1"/>
  <c r="N55" i="2"/>
  <c r="N222" i="2"/>
  <c r="K229" i="2"/>
  <c r="J517" i="1"/>
  <c r="J523" i="1"/>
  <c r="J526" i="1"/>
  <c r="J532" i="1"/>
  <c r="N537" i="1"/>
  <c r="J548" i="1"/>
  <c r="N559" i="1"/>
  <c r="J564" i="1"/>
  <c r="N566" i="1"/>
  <c r="N570" i="1"/>
  <c r="N388" i="1"/>
  <c r="I493" i="1"/>
  <c r="K493" i="1" s="1"/>
  <c r="I427" i="1"/>
  <c r="I428" i="1"/>
  <c r="J360" i="1"/>
  <c r="J365" i="1"/>
  <c r="I369" i="1"/>
  <c r="K369" i="1" s="1"/>
  <c r="J464" i="1"/>
  <c r="J467" i="1"/>
  <c r="J470" i="1"/>
  <c r="J473" i="1"/>
  <c r="J476" i="1"/>
  <c r="J479" i="1"/>
  <c r="J482" i="1"/>
  <c r="J485" i="1"/>
  <c r="J488" i="1"/>
  <c r="J491" i="1"/>
  <c r="J494" i="1"/>
  <c r="J497" i="1"/>
  <c r="J509" i="1"/>
  <c r="J518" i="1"/>
  <c r="J524" i="1"/>
  <c r="J527" i="1"/>
  <c r="J533" i="1"/>
  <c r="N598" i="1"/>
  <c r="J286" i="1"/>
  <c r="N351" i="1"/>
  <c r="N354" i="1"/>
  <c r="J361" i="1"/>
  <c r="J366" i="1"/>
  <c r="K625" i="2"/>
  <c r="K620" i="2"/>
  <c r="K622" i="2"/>
  <c r="I430" i="1"/>
  <c r="P273" i="4"/>
  <c r="I487" i="1"/>
  <c r="K487" i="1" s="1"/>
  <c r="I477" i="1"/>
  <c r="K477" i="1" s="1"/>
  <c r="L553" i="1"/>
  <c r="O553" i="1" s="1"/>
  <c r="I578" i="1"/>
  <c r="K578" i="1" s="1"/>
  <c r="O457" i="2"/>
  <c r="I474" i="1"/>
  <c r="I498" i="1"/>
  <c r="I528" i="1"/>
  <c r="J668" i="1"/>
  <c r="J218" i="1"/>
  <c r="L255" i="1"/>
  <c r="I266" i="1"/>
  <c r="J321" i="1"/>
  <c r="J326" i="1"/>
  <c r="N580" i="1"/>
  <c r="K625" i="7"/>
  <c r="J110" i="1"/>
  <c r="L46" i="1"/>
  <c r="I80" i="1"/>
  <c r="I88" i="1"/>
  <c r="I345" i="1"/>
  <c r="K345" i="1" s="1"/>
  <c r="I469" i="1"/>
  <c r="K469" i="1" s="1"/>
  <c r="I82" i="1"/>
  <c r="I265" i="1"/>
  <c r="I289" i="1"/>
  <c r="I306" i="1"/>
  <c r="L456" i="1"/>
  <c r="O456" i="1" s="1"/>
  <c r="I489" i="1"/>
  <c r="K489" i="1" s="1"/>
  <c r="J182" i="1"/>
  <c r="J204" i="1"/>
  <c r="I426" i="1"/>
  <c r="I429" i="1"/>
  <c r="O435" i="2"/>
  <c r="I367" i="4"/>
  <c r="K367" i="4" s="1"/>
  <c r="K371" i="4"/>
  <c r="P70" i="13"/>
  <c r="M68" i="13"/>
  <c r="M66" i="13" s="1"/>
  <c r="P66" i="13" s="1"/>
  <c r="J614" i="1"/>
  <c r="J617" i="1"/>
  <c r="J620" i="1"/>
  <c r="L146" i="1"/>
  <c r="I201" i="1"/>
  <c r="J238" i="1"/>
  <c r="N588" i="1"/>
  <c r="I597" i="1"/>
  <c r="L599" i="1"/>
  <c r="J609" i="1"/>
  <c r="I616" i="1"/>
  <c r="I622" i="1"/>
  <c r="K108" i="4"/>
  <c r="K619" i="4"/>
  <c r="N671" i="1"/>
  <c r="K204" i="5"/>
  <c r="L45" i="6"/>
  <c r="L43" i="6" s="1"/>
  <c r="J447" i="1"/>
  <c r="L457" i="1"/>
  <c r="N98" i="1"/>
  <c r="P98" i="1" s="1"/>
  <c r="J117" i="1"/>
  <c r="K149" i="7"/>
  <c r="K158" i="7"/>
  <c r="J189" i="1"/>
  <c r="J199" i="1"/>
  <c r="J203" i="1"/>
  <c r="J445" i="1"/>
  <c r="I481" i="1"/>
  <c r="P275" i="8"/>
  <c r="N43" i="9"/>
  <c r="N41" i="9" s="1"/>
  <c r="K109" i="9"/>
  <c r="K112" i="9"/>
  <c r="L122" i="9"/>
  <c r="O122" i="9" s="1"/>
  <c r="O380" i="9"/>
  <c r="K482" i="9"/>
  <c r="L275" i="10"/>
  <c r="O275" i="10" s="1"/>
  <c r="L333" i="11"/>
  <c r="L331" i="11" s="1"/>
  <c r="K340" i="11"/>
  <c r="L275" i="12"/>
  <c r="O275" i="12" s="1"/>
  <c r="I522" i="1"/>
  <c r="I531" i="1"/>
  <c r="N540" i="1"/>
  <c r="K547" i="13"/>
  <c r="O584" i="13"/>
  <c r="K619" i="14"/>
  <c r="I590" i="1"/>
  <c r="K590" i="1" s="1"/>
  <c r="I623" i="1"/>
  <c r="I626" i="1"/>
  <c r="N96" i="3"/>
  <c r="N94" i="3" s="1"/>
  <c r="I367" i="3"/>
  <c r="K367" i="3" s="1"/>
  <c r="K425" i="3"/>
  <c r="K431" i="3"/>
  <c r="O437" i="3"/>
  <c r="K451" i="3"/>
  <c r="K93" i="4"/>
  <c r="P333" i="4"/>
  <c r="O380" i="4"/>
  <c r="O383" i="4"/>
  <c r="K424" i="4"/>
  <c r="O439" i="4"/>
  <c r="K611" i="4"/>
  <c r="L45" i="5"/>
  <c r="L43" i="5" s="1"/>
  <c r="N70" i="1"/>
  <c r="J76" i="1"/>
  <c r="L122" i="6"/>
  <c r="O122" i="6" s="1"/>
  <c r="J188" i="1"/>
  <c r="J197" i="1"/>
  <c r="J435" i="1"/>
  <c r="L347" i="1"/>
  <c r="N357" i="1"/>
  <c r="J371" i="1"/>
  <c r="J374" i="1"/>
  <c r="J394" i="1"/>
  <c r="J427" i="1"/>
  <c r="O439" i="7"/>
  <c r="I621" i="1"/>
  <c r="K229" i="8"/>
  <c r="O337" i="8"/>
  <c r="N252" i="9"/>
  <c r="N250" i="9" s="1"/>
  <c r="P337" i="9"/>
  <c r="N120" i="10"/>
  <c r="N118" i="10" s="1"/>
  <c r="L70" i="11"/>
  <c r="O70" i="11" s="1"/>
  <c r="N222" i="11"/>
  <c r="N220" i="11" s="1"/>
  <c r="N34" i="11"/>
  <c r="N14" i="11" s="1"/>
  <c r="K401" i="12"/>
  <c r="K422" i="12"/>
  <c r="K428" i="12"/>
  <c r="N273" i="13"/>
  <c r="N271" i="13" s="1"/>
  <c r="K324" i="13"/>
  <c r="K340" i="13"/>
  <c r="K401" i="13"/>
  <c r="K466" i="13"/>
  <c r="N142" i="14"/>
  <c r="N140" i="14" s="1"/>
  <c r="K417" i="14"/>
  <c r="K420" i="14"/>
  <c r="K426" i="14"/>
  <c r="K466" i="14"/>
  <c r="O533" i="14"/>
  <c r="N96" i="15"/>
  <c r="N94" i="15" s="1"/>
  <c r="K450" i="15"/>
  <c r="K473" i="15"/>
  <c r="K597" i="15"/>
  <c r="K628" i="15"/>
  <c r="N539" i="1"/>
  <c r="J663" i="1"/>
  <c r="L122" i="5"/>
  <c r="O122" i="5" s="1"/>
  <c r="L71" i="1"/>
  <c r="J135" i="1"/>
  <c r="N148" i="1"/>
  <c r="J171" i="1"/>
  <c r="K219" i="6"/>
  <c r="J339" i="1"/>
  <c r="J342" i="1"/>
  <c r="J376" i="1"/>
  <c r="J380" i="1"/>
  <c r="N385" i="1"/>
  <c r="K397" i="6"/>
  <c r="K429" i="6"/>
  <c r="K432" i="6"/>
  <c r="K634" i="6"/>
  <c r="K573" i="7"/>
  <c r="J671" i="7"/>
  <c r="K158" i="8"/>
  <c r="O597" i="9"/>
  <c r="K419" i="10"/>
  <c r="K425" i="10"/>
  <c r="K634" i="10"/>
  <c r="O380" i="11"/>
  <c r="O401" i="11"/>
  <c r="L122" i="12"/>
  <c r="O122" i="12" s="1"/>
  <c r="L314" i="12"/>
  <c r="O314" i="12" s="1"/>
  <c r="K341" i="12"/>
  <c r="N331" i="14"/>
  <c r="N329" i="14" s="1"/>
  <c r="K630" i="14"/>
  <c r="O580" i="2"/>
  <c r="K634" i="2"/>
  <c r="L45" i="3"/>
  <c r="L43" i="3" s="1"/>
  <c r="L41" i="3" s="1"/>
  <c r="P144" i="3"/>
  <c r="O385" i="3"/>
  <c r="O457" i="3"/>
  <c r="N68" i="4"/>
  <c r="N66" i="4" s="1"/>
  <c r="J90" i="1"/>
  <c r="J106" i="1"/>
  <c r="L333" i="4"/>
  <c r="L331" i="4" s="1"/>
  <c r="L329" i="4" s="1"/>
  <c r="J372" i="1"/>
  <c r="K381" i="4"/>
  <c r="N389" i="1"/>
  <c r="J400" i="1"/>
  <c r="J419" i="1"/>
  <c r="N604" i="1"/>
  <c r="I611" i="1"/>
  <c r="I617" i="1"/>
  <c r="I620" i="1"/>
  <c r="N651" i="1"/>
  <c r="J658" i="1"/>
  <c r="J662" i="1"/>
  <c r="O49" i="6"/>
  <c r="K219" i="7"/>
  <c r="L333" i="7"/>
  <c r="L331" i="7" s="1"/>
  <c r="O354" i="7"/>
  <c r="N120" i="9"/>
  <c r="N118" i="9" s="1"/>
  <c r="P224" i="9"/>
  <c r="N96" i="10"/>
  <c r="N94" i="10" s="1"/>
  <c r="N273" i="10"/>
  <c r="N271" i="10" s="1"/>
  <c r="O537" i="10"/>
  <c r="K158" i="11"/>
  <c r="O347" i="12"/>
  <c r="O380" i="12"/>
  <c r="P98" i="13"/>
  <c r="N252" i="13"/>
  <c r="N250" i="13" s="1"/>
  <c r="K350" i="13"/>
  <c r="K450" i="13"/>
  <c r="O380" i="14"/>
  <c r="K398" i="14"/>
  <c r="K473" i="14"/>
  <c r="K345" i="15"/>
  <c r="O354" i="15"/>
  <c r="K375" i="15"/>
  <c r="K419" i="15"/>
  <c r="J675" i="1"/>
  <c r="K173" i="3"/>
  <c r="O537" i="3"/>
  <c r="L59" i="1"/>
  <c r="L275" i="4"/>
  <c r="J320" i="1"/>
  <c r="I380" i="1"/>
  <c r="O385" i="4"/>
  <c r="K401" i="4"/>
  <c r="O406" i="4"/>
  <c r="K635" i="4"/>
  <c r="L333" i="5"/>
  <c r="L331" i="5" s="1"/>
  <c r="L329" i="5" s="1"/>
  <c r="K423" i="5"/>
  <c r="K428" i="5"/>
  <c r="O457" i="5"/>
  <c r="J626" i="1"/>
  <c r="N222" i="6"/>
  <c r="N220" i="6" s="1"/>
  <c r="K482" i="6"/>
  <c r="K547" i="6"/>
  <c r="K632" i="6"/>
  <c r="N273" i="7"/>
  <c r="N271" i="7" s="1"/>
  <c r="O455" i="7"/>
  <c r="K466" i="7"/>
  <c r="N120" i="8"/>
  <c r="P120" i="8" s="1"/>
  <c r="L70" i="9"/>
  <c r="O70" i="9" s="1"/>
  <c r="K158" i="9"/>
  <c r="K264" i="9"/>
  <c r="K267" i="9"/>
  <c r="K435" i="9"/>
  <c r="O437" i="9"/>
  <c r="O459" i="9"/>
  <c r="K481" i="9"/>
  <c r="N43" i="10"/>
  <c r="N41" i="10" s="1"/>
  <c r="K350" i="10"/>
  <c r="K377" i="10"/>
  <c r="K564" i="10"/>
  <c r="K597" i="10"/>
  <c r="N43" i="11"/>
  <c r="P43" i="11" s="1"/>
  <c r="K345" i="11"/>
  <c r="K419" i="11"/>
  <c r="K425" i="11"/>
  <c r="K431" i="11"/>
  <c r="K435" i="11"/>
  <c r="K455" i="11"/>
  <c r="K164" i="12"/>
  <c r="K173" i="12"/>
  <c r="K597" i="12"/>
  <c r="O599" i="12"/>
  <c r="K629" i="12"/>
  <c r="N43" i="13"/>
  <c r="N41" i="13" s="1"/>
  <c r="P41" i="13" s="1"/>
  <c r="K285" i="13"/>
  <c r="K402" i="13"/>
  <c r="K422" i="13"/>
  <c r="K425" i="13"/>
  <c r="K270" i="14"/>
  <c r="O599" i="14"/>
  <c r="N222" i="15"/>
  <c r="N220" i="15" s="1"/>
  <c r="K264" i="15"/>
  <c r="K267" i="15"/>
  <c r="L275" i="15"/>
  <c r="L273" i="15" s="1"/>
  <c r="N292" i="15"/>
  <c r="N290" i="15" s="1"/>
  <c r="O385" i="15"/>
  <c r="K420" i="15"/>
  <c r="K426" i="15"/>
  <c r="K466" i="15"/>
  <c r="K481" i="15"/>
  <c r="K499" i="15"/>
  <c r="O533" i="15"/>
  <c r="K547" i="15"/>
  <c r="I634" i="1"/>
  <c r="K634" i="4"/>
  <c r="L228" i="1"/>
  <c r="O228" i="1" s="1"/>
  <c r="I509" i="1"/>
  <c r="K509" i="1" s="1"/>
  <c r="J512" i="1"/>
  <c r="I633" i="1"/>
  <c r="K633" i="2"/>
  <c r="N74" i="1"/>
  <c r="I204" i="1"/>
  <c r="K204" i="1" s="1"/>
  <c r="I504" i="1"/>
  <c r="K504" i="1" s="1"/>
  <c r="N442" i="1"/>
  <c r="I516" i="1"/>
  <c r="I519" i="1"/>
  <c r="L533" i="1"/>
  <c r="N554" i="1"/>
  <c r="K575" i="2"/>
  <c r="I575" i="1"/>
  <c r="K575" i="1" s="1"/>
  <c r="K576" i="3"/>
  <c r="I576" i="1"/>
  <c r="K576" i="1" s="1"/>
  <c r="K591" i="3"/>
  <c r="I591" i="1"/>
  <c r="K632" i="3"/>
  <c r="I632" i="1"/>
  <c r="K420" i="6"/>
  <c r="K464" i="7"/>
  <c r="J500" i="1"/>
  <c r="I547" i="1"/>
  <c r="I92" i="1"/>
  <c r="I133" i="1"/>
  <c r="I158" i="1"/>
  <c r="I189" i="1"/>
  <c r="I339" i="1"/>
  <c r="K339" i="1" s="1"/>
  <c r="I372" i="1"/>
  <c r="L384" i="1"/>
  <c r="O384" i="1" s="1"/>
  <c r="I452" i="1"/>
  <c r="K452" i="1" s="1"/>
  <c r="I468" i="1"/>
  <c r="K468" i="1" s="1"/>
  <c r="I480" i="1"/>
  <c r="K480" i="1" s="1"/>
  <c r="I486" i="1"/>
  <c r="K486" i="1" s="1"/>
  <c r="I511" i="1"/>
  <c r="K511" i="1" s="1"/>
  <c r="L555" i="1"/>
  <c r="O555" i="1" s="1"/>
  <c r="J397" i="1"/>
  <c r="I435" i="1"/>
  <c r="M292" i="4"/>
  <c r="P292" i="4" s="1"/>
  <c r="P294" i="4"/>
  <c r="J575" i="1"/>
  <c r="K628" i="10"/>
  <c r="I628" i="1"/>
  <c r="I249" i="1"/>
  <c r="L334" i="1"/>
  <c r="P314" i="4"/>
  <c r="M312" i="4"/>
  <c r="P312" i="4" s="1"/>
  <c r="M122" i="1"/>
  <c r="I176" i="1"/>
  <c r="L258" i="1"/>
  <c r="O258" i="1" s="1"/>
  <c r="L435" i="1"/>
  <c r="I492" i="1"/>
  <c r="K492" i="1" s="1"/>
  <c r="J647" i="1"/>
  <c r="J649" i="1"/>
  <c r="I665" i="1"/>
  <c r="K665" i="1" s="1"/>
  <c r="K422" i="3"/>
  <c r="N665" i="1"/>
  <c r="P122" i="5"/>
  <c r="M120" i="5"/>
  <c r="P120" i="5" s="1"/>
  <c r="K173" i="5"/>
  <c r="I110" i="1"/>
  <c r="N457" i="1"/>
  <c r="J506" i="1"/>
  <c r="K370" i="4"/>
  <c r="I64" i="1"/>
  <c r="I113" i="1"/>
  <c r="K113" i="1" s="1"/>
  <c r="I213" i="1"/>
  <c r="I270" i="1"/>
  <c r="J306" i="1"/>
  <c r="J368" i="1"/>
  <c r="J381" i="1"/>
  <c r="I396" i="1"/>
  <c r="K396" i="1" s="1"/>
  <c r="L403" i="1"/>
  <c r="O403" i="1" s="1"/>
  <c r="I507" i="1"/>
  <c r="K507" i="1" s="1"/>
  <c r="I513" i="1"/>
  <c r="K513" i="1" s="1"/>
  <c r="N380" i="1"/>
  <c r="K635" i="2"/>
  <c r="J656" i="1"/>
  <c r="K164" i="4"/>
  <c r="K173" i="4"/>
  <c r="K396" i="4"/>
  <c r="K419" i="4"/>
  <c r="J652" i="1"/>
  <c r="K189" i="7"/>
  <c r="J93" i="1"/>
  <c r="L124" i="1"/>
  <c r="J131" i="1"/>
  <c r="J209" i="1"/>
  <c r="J217" i="1"/>
  <c r="J281" i="1"/>
  <c r="J378" i="1"/>
  <c r="I381" i="1"/>
  <c r="N586" i="1"/>
  <c r="O601" i="2"/>
  <c r="J615" i="1"/>
  <c r="J633" i="1"/>
  <c r="J648" i="1"/>
  <c r="N661" i="1"/>
  <c r="L665" i="1"/>
  <c r="O665" i="1" s="1"/>
  <c r="J676" i="1"/>
  <c r="N120" i="3"/>
  <c r="N118" i="3" s="1"/>
  <c r="J244" i="1"/>
  <c r="K266" i="3"/>
  <c r="M290" i="3"/>
  <c r="K597" i="3"/>
  <c r="J613" i="1"/>
  <c r="J616" i="1"/>
  <c r="J619" i="1"/>
  <c r="J622" i="1"/>
  <c r="J625" i="1"/>
  <c r="J629" i="1"/>
  <c r="J632" i="1"/>
  <c r="J635" i="1"/>
  <c r="J665" i="1"/>
  <c r="L144" i="4"/>
  <c r="O144" i="4" s="1"/>
  <c r="N292" i="4"/>
  <c r="N290" i="4" s="1"/>
  <c r="K380" i="4"/>
  <c r="K422" i="4"/>
  <c r="O437" i="4"/>
  <c r="K498" i="4"/>
  <c r="O533" i="4"/>
  <c r="N650" i="1"/>
  <c r="K110" i="5"/>
  <c r="K113" i="5"/>
  <c r="L144" i="5"/>
  <c r="L142" i="5" s="1"/>
  <c r="K398" i="5"/>
  <c r="K429" i="5"/>
  <c r="O435" i="5"/>
  <c r="L57" i="6"/>
  <c r="L55" i="6" s="1"/>
  <c r="L53" i="6" s="1"/>
  <c r="L224" i="6"/>
  <c r="O224" i="6" s="1"/>
  <c r="O380" i="6"/>
  <c r="O401" i="6"/>
  <c r="K424" i="6"/>
  <c r="O566" i="6"/>
  <c r="O597" i="6"/>
  <c r="N142" i="7"/>
  <c r="N140" i="7" s="1"/>
  <c r="K431" i="7"/>
  <c r="P224" i="11"/>
  <c r="M222" i="11"/>
  <c r="M220" i="11" s="1"/>
  <c r="P57" i="13"/>
  <c r="M55" i="13"/>
  <c r="M53" i="13" s="1"/>
  <c r="N96" i="2"/>
  <c r="N94" i="2" s="1"/>
  <c r="J201" i="1"/>
  <c r="K201" i="1" s="1"/>
  <c r="N252" i="2"/>
  <c r="N250" i="2" s="1"/>
  <c r="J260" i="1"/>
  <c r="N355" i="1"/>
  <c r="J362" i="1"/>
  <c r="N404" i="1"/>
  <c r="J418" i="1"/>
  <c r="J430" i="1"/>
  <c r="J434" i="1"/>
  <c r="N436" i="1"/>
  <c r="I594" i="1"/>
  <c r="K594" i="1" s="1"/>
  <c r="I613" i="1"/>
  <c r="K631" i="2"/>
  <c r="I108" i="1"/>
  <c r="J114" i="1"/>
  <c r="N222" i="3"/>
  <c r="N220" i="3" s="1"/>
  <c r="J504" i="1"/>
  <c r="J516" i="1"/>
  <c r="J519" i="1"/>
  <c r="J522" i="1"/>
  <c r="J525" i="1"/>
  <c r="J528" i="1"/>
  <c r="J531" i="1"/>
  <c r="N533" i="1"/>
  <c r="O533" i="1" s="1"/>
  <c r="N536" i="1"/>
  <c r="N32" i="3"/>
  <c r="N30" i="3" s="1"/>
  <c r="N584" i="1"/>
  <c r="I630" i="1"/>
  <c r="N55" i="5"/>
  <c r="N53" i="5" s="1"/>
  <c r="N292" i="5"/>
  <c r="N290" i="5" s="1"/>
  <c r="K589" i="5"/>
  <c r="O601" i="5"/>
  <c r="K628" i="6"/>
  <c r="N43" i="7"/>
  <c r="N41" i="7" s="1"/>
  <c r="L57" i="7"/>
  <c r="L55" i="7" s="1"/>
  <c r="K343" i="7"/>
  <c r="K370" i="7"/>
  <c r="K376" i="7"/>
  <c r="O406" i="7"/>
  <c r="K417" i="7"/>
  <c r="K420" i="7"/>
  <c r="K426" i="7"/>
  <c r="K429" i="7"/>
  <c r="K432" i="7"/>
  <c r="O435" i="7"/>
  <c r="K455" i="7"/>
  <c r="P275" i="10"/>
  <c r="M273" i="10"/>
  <c r="P273" i="10" s="1"/>
  <c r="K431" i="15"/>
  <c r="J65" i="1"/>
  <c r="L99" i="1"/>
  <c r="K189" i="2"/>
  <c r="K199" i="2"/>
  <c r="K219" i="2"/>
  <c r="J245" i="1"/>
  <c r="K309" i="2"/>
  <c r="M314" i="1"/>
  <c r="J325" i="1"/>
  <c r="I419" i="1"/>
  <c r="K422" i="2"/>
  <c r="N456" i="1"/>
  <c r="J560" i="1"/>
  <c r="N572" i="1"/>
  <c r="J576" i="1"/>
  <c r="J579" i="1"/>
  <c r="N583" i="1"/>
  <c r="J591" i="1"/>
  <c r="K597" i="2"/>
  <c r="I663" i="1"/>
  <c r="K663" i="1" s="1"/>
  <c r="J181" i="1"/>
  <c r="K418" i="3"/>
  <c r="L273" i="4"/>
  <c r="L271" i="4" s="1"/>
  <c r="O271" i="4" s="1"/>
  <c r="K108" i="5"/>
  <c r="K111" i="5"/>
  <c r="K229" i="5"/>
  <c r="K235" i="5"/>
  <c r="K328" i="5"/>
  <c r="K416" i="5"/>
  <c r="O535" i="5"/>
  <c r="N273" i="6"/>
  <c r="N271" i="6" s="1"/>
  <c r="K416" i="6"/>
  <c r="K422" i="6"/>
  <c r="K430" i="6"/>
  <c r="K466" i="6"/>
  <c r="N61" i="1"/>
  <c r="K84" i="2"/>
  <c r="J235" i="1"/>
  <c r="J241" i="1"/>
  <c r="J262" i="1"/>
  <c r="J402" i="1"/>
  <c r="N410" i="1"/>
  <c r="N437" i="1"/>
  <c r="N440" i="1"/>
  <c r="I455" i="1"/>
  <c r="N459" i="1"/>
  <c r="O584" i="2"/>
  <c r="L600" i="1"/>
  <c r="O600" i="1" s="1"/>
  <c r="K629" i="2"/>
  <c r="P98" i="3"/>
  <c r="L144" i="3"/>
  <c r="O144" i="3" s="1"/>
  <c r="K186" i="3"/>
  <c r="K200" i="3"/>
  <c r="K249" i="3"/>
  <c r="L275" i="3"/>
  <c r="L273" i="3" s="1"/>
  <c r="K369" i="3"/>
  <c r="K427" i="3"/>
  <c r="K430" i="3"/>
  <c r="O439" i="3"/>
  <c r="K628" i="3"/>
  <c r="K631" i="3"/>
  <c r="K634" i="3"/>
  <c r="K229" i="4"/>
  <c r="K235" i="4"/>
  <c r="L294" i="4"/>
  <c r="O294" i="4" s="1"/>
  <c r="O537" i="4"/>
  <c r="K628" i="4"/>
  <c r="K631" i="4"/>
  <c r="K158" i="5"/>
  <c r="K397" i="5"/>
  <c r="L32" i="5"/>
  <c r="K474" i="5"/>
  <c r="K380" i="6"/>
  <c r="K431" i="6"/>
  <c r="K464" i="6"/>
  <c r="O599" i="6"/>
  <c r="K648" i="6"/>
  <c r="N96" i="7"/>
  <c r="N94" i="7" s="1"/>
  <c r="K235" i="7"/>
  <c r="M312" i="7"/>
  <c r="P312" i="7" s="1"/>
  <c r="N331" i="7"/>
  <c r="N329" i="7" s="1"/>
  <c r="K341" i="7"/>
  <c r="O380" i="7"/>
  <c r="O383" i="7"/>
  <c r="K398" i="7"/>
  <c r="O401" i="7"/>
  <c r="O404" i="7"/>
  <c r="K449" i="7"/>
  <c r="O537" i="7"/>
  <c r="K564" i="7"/>
  <c r="P337" i="8"/>
  <c r="M26" i="8"/>
  <c r="M16" i="8" s="1"/>
  <c r="P122" i="15"/>
  <c r="N120" i="15"/>
  <c r="N118" i="15" s="1"/>
  <c r="P118" i="15" s="1"/>
  <c r="N142" i="8"/>
  <c r="N140" i="8" s="1"/>
  <c r="P140" i="8" s="1"/>
  <c r="N222" i="8"/>
  <c r="P222" i="8" s="1"/>
  <c r="N55" i="9"/>
  <c r="N53" i="9" s="1"/>
  <c r="L144" i="9"/>
  <c r="L142" i="9" s="1"/>
  <c r="O533" i="9"/>
  <c r="O564" i="9"/>
  <c r="L224" i="11"/>
  <c r="K465" i="11"/>
  <c r="K473" i="11"/>
  <c r="K617" i="11"/>
  <c r="K110" i="12"/>
  <c r="K113" i="12"/>
  <c r="P294" i="13"/>
  <c r="K381" i="13"/>
  <c r="K580" i="13"/>
  <c r="O582" i="13"/>
  <c r="L275" i="14"/>
  <c r="O275" i="14" s="1"/>
  <c r="K464" i="14"/>
  <c r="O459" i="8"/>
  <c r="K499" i="8"/>
  <c r="K265" i="9"/>
  <c r="O349" i="9"/>
  <c r="K424" i="9"/>
  <c r="O457" i="9"/>
  <c r="K465" i="9"/>
  <c r="L70" i="10"/>
  <c r="L68" i="10" s="1"/>
  <c r="L98" i="10"/>
  <c r="O98" i="10" s="1"/>
  <c r="K158" i="10"/>
  <c r="M310" i="10"/>
  <c r="P310" i="10" s="1"/>
  <c r="L314" i="10"/>
  <c r="O314" i="10" s="1"/>
  <c r="O354" i="10"/>
  <c r="O383" i="10"/>
  <c r="K398" i="10"/>
  <c r="O401" i="10"/>
  <c r="N292" i="11"/>
  <c r="N290" i="11" s="1"/>
  <c r="N312" i="11"/>
  <c r="N310" i="11" s="1"/>
  <c r="J651" i="11"/>
  <c r="L57" i="12"/>
  <c r="L55" i="12" s="1"/>
  <c r="L53" i="12" s="1"/>
  <c r="K424" i="12"/>
  <c r="K430" i="12"/>
  <c r="O439" i="12"/>
  <c r="K450" i="12"/>
  <c r="J671" i="12"/>
  <c r="N68" i="14"/>
  <c r="N66" i="14" s="1"/>
  <c r="O597" i="14"/>
  <c r="K622" i="14"/>
  <c r="J651" i="14"/>
  <c r="P57" i="15"/>
  <c r="O347" i="15"/>
  <c r="K635" i="7"/>
  <c r="N273" i="8"/>
  <c r="N271" i="8" s="1"/>
  <c r="N292" i="8"/>
  <c r="N290" i="8" s="1"/>
  <c r="K425" i="8"/>
  <c r="O457" i="8"/>
  <c r="O564" i="8"/>
  <c r="L45" i="9"/>
  <c r="O45" i="9" s="1"/>
  <c r="K65" i="9"/>
  <c r="N222" i="9"/>
  <c r="N220" i="9" s="1"/>
  <c r="K266" i="9"/>
  <c r="O347" i="9"/>
  <c r="K422" i="9"/>
  <c r="O439" i="9"/>
  <c r="O455" i="9"/>
  <c r="O601" i="9"/>
  <c r="J651" i="9"/>
  <c r="K381" i="10"/>
  <c r="K427" i="10"/>
  <c r="O439" i="10"/>
  <c r="K449" i="11"/>
  <c r="K634" i="11"/>
  <c r="K108" i="12"/>
  <c r="K343" i="12"/>
  <c r="O349" i="12"/>
  <c r="K370" i="12"/>
  <c r="K380" i="12"/>
  <c r="K425" i="12"/>
  <c r="K499" i="12"/>
  <c r="K547" i="12"/>
  <c r="K164" i="13"/>
  <c r="K173" i="13"/>
  <c r="K186" i="13"/>
  <c r="L224" i="13"/>
  <c r="L222" i="13" s="1"/>
  <c r="P275" i="13"/>
  <c r="K376" i="13"/>
  <c r="K380" i="13"/>
  <c r="O385" i="13"/>
  <c r="K455" i="13"/>
  <c r="K498" i="13"/>
  <c r="O535" i="13"/>
  <c r="K631" i="13"/>
  <c r="P45" i="14"/>
  <c r="L57" i="14"/>
  <c r="L55" i="14" s="1"/>
  <c r="L53" i="14" s="1"/>
  <c r="P144" i="14"/>
  <c r="K158" i="14"/>
  <c r="K429" i="14"/>
  <c r="O435" i="14"/>
  <c r="K449" i="14"/>
  <c r="K219" i="15"/>
  <c r="L254" i="15"/>
  <c r="L252" i="15" s="1"/>
  <c r="K266" i="15"/>
  <c r="P333" i="15"/>
  <c r="K381" i="15"/>
  <c r="O459" i="15"/>
  <c r="O568" i="15"/>
  <c r="K623" i="7"/>
  <c r="K474" i="8"/>
  <c r="O601" i="8"/>
  <c r="O650" i="8"/>
  <c r="N331" i="9"/>
  <c r="N329" i="9" s="1"/>
  <c r="K377" i="9"/>
  <c r="K401" i="9"/>
  <c r="O566" i="9"/>
  <c r="N120" i="11"/>
  <c r="N118" i="11" s="1"/>
  <c r="L254" i="11"/>
  <c r="O254" i="11" s="1"/>
  <c r="O347" i="11"/>
  <c r="K450" i="11"/>
  <c r="K464" i="11"/>
  <c r="K533" i="11"/>
  <c r="O535" i="11"/>
  <c r="K149" i="12"/>
  <c r="K631" i="12"/>
  <c r="N55" i="13"/>
  <c r="N53" i="13" s="1"/>
  <c r="L275" i="13"/>
  <c r="O275" i="13" s="1"/>
  <c r="K368" i="13"/>
  <c r="K423" i="13"/>
  <c r="K473" i="13"/>
  <c r="K499" i="13"/>
  <c r="L224" i="14"/>
  <c r="O224" i="14" s="1"/>
  <c r="K340" i="14"/>
  <c r="K430" i="14"/>
  <c r="K481" i="14"/>
  <c r="O535" i="14"/>
  <c r="K229" i="15"/>
  <c r="N31" i="15"/>
  <c r="N29" i="15" s="1"/>
  <c r="K435" i="15"/>
  <c r="K611" i="15"/>
  <c r="O597" i="7"/>
  <c r="K621" i="7"/>
  <c r="K481" i="8"/>
  <c r="N68" i="9"/>
  <c r="N66" i="9" s="1"/>
  <c r="K200" i="9"/>
  <c r="M292" i="9"/>
  <c r="P292" i="9" s="1"/>
  <c r="L333" i="9"/>
  <c r="L331" i="9" s="1"/>
  <c r="K398" i="9"/>
  <c r="O401" i="9"/>
  <c r="K589" i="9"/>
  <c r="K235" i="10"/>
  <c r="N331" i="10"/>
  <c r="N329" i="10" s="1"/>
  <c r="K431" i="10"/>
  <c r="J671" i="10"/>
  <c r="I367" i="11"/>
  <c r="K367" i="11" s="1"/>
  <c r="K632" i="11"/>
  <c r="K112" i="12"/>
  <c r="O383" i="12"/>
  <c r="O435" i="12"/>
  <c r="K482" i="13"/>
  <c r="N312" i="14"/>
  <c r="N310" i="14" s="1"/>
  <c r="O564" i="14"/>
  <c r="K628" i="14"/>
  <c r="N68" i="15"/>
  <c r="N66" i="15" s="1"/>
  <c r="L122" i="15"/>
  <c r="L120" i="15" s="1"/>
  <c r="L118" i="15" s="1"/>
  <c r="L144" i="15"/>
  <c r="L142" i="15" s="1"/>
  <c r="K173" i="15"/>
  <c r="K200" i="15"/>
  <c r="K249" i="15"/>
  <c r="K306" i="15"/>
  <c r="P314" i="15"/>
  <c r="K343" i="15"/>
  <c r="O349" i="15"/>
  <c r="K380" i="15"/>
  <c r="K417" i="15"/>
  <c r="K429" i="15"/>
  <c r="O435" i="15"/>
  <c r="K449" i="15"/>
  <c r="K465" i="15"/>
  <c r="O601" i="15"/>
  <c r="L102" i="1"/>
  <c r="O599" i="2"/>
  <c r="N599" i="1"/>
  <c r="O582" i="3"/>
  <c r="L582" i="1"/>
  <c r="K577" i="2"/>
  <c r="I577" i="1"/>
  <c r="K577" i="1" s="1"/>
  <c r="I595" i="1"/>
  <c r="K595" i="2"/>
  <c r="I216" i="1"/>
  <c r="O554" i="2"/>
  <c r="L554" i="1"/>
  <c r="O554" i="1" s="1"/>
  <c r="N557" i="1"/>
  <c r="J561" i="1"/>
  <c r="N565" i="1"/>
  <c r="N568" i="1"/>
  <c r="J573" i="1"/>
  <c r="O275" i="5"/>
  <c r="L273" i="5"/>
  <c r="O273" i="5" s="1"/>
  <c r="M96" i="3"/>
  <c r="M94" i="3" s="1"/>
  <c r="M26" i="3"/>
  <c r="M16" i="3" s="1"/>
  <c r="O351" i="2"/>
  <c r="L31" i="2"/>
  <c r="L29" i="2" s="1"/>
  <c r="O29" i="2" s="1"/>
  <c r="O455" i="2"/>
  <c r="K495" i="2"/>
  <c r="I495" i="1"/>
  <c r="K495" i="1" s="1"/>
  <c r="K501" i="2"/>
  <c r="I501" i="1"/>
  <c r="K501" i="1" s="1"/>
  <c r="K510" i="2"/>
  <c r="I510" i="1"/>
  <c r="K510" i="1" s="1"/>
  <c r="M96" i="2"/>
  <c r="P96" i="2" s="1"/>
  <c r="P98" i="2"/>
  <c r="J651" i="2"/>
  <c r="J657" i="1"/>
  <c r="L671" i="1"/>
  <c r="O671" i="1" s="1"/>
  <c r="O671" i="2"/>
  <c r="L277" i="1"/>
  <c r="J284" i="1"/>
  <c r="L57" i="2"/>
  <c r="O57" i="2" s="1"/>
  <c r="J187" i="1"/>
  <c r="J236" i="1"/>
  <c r="O318" i="2"/>
  <c r="K324" i="2"/>
  <c r="P333" i="2"/>
  <c r="J453" i="1"/>
  <c r="N461" i="1"/>
  <c r="J468" i="1"/>
  <c r="J474" i="1"/>
  <c r="J480" i="1"/>
  <c r="J486" i="1"/>
  <c r="J492" i="1"/>
  <c r="J498" i="1"/>
  <c r="J510" i="1"/>
  <c r="J550" i="1"/>
  <c r="J80" i="1"/>
  <c r="J83" i="1"/>
  <c r="P102" i="3"/>
  <c r="K132" i="3"/>
  <c r="J154" i="1"/>
  <c r="J159" i="1"/>
  <c r="J164" i="1"/>
  <c r="J173" i="1"/>
  <c r="K173" i="1" s="1"/>
  <c r="J289" i="1"/>
  <c r="L294" i="3"/>
  <c r="L292" i="3" s="1"/>
  <c r="L290" i="3" s="1"/>
  <c r="K380" i="3"/>
  <c r="N31" i="3"/>
  <c r="N29" i="3" s="1"/>
  <c r="J401" i="1"/>
  <c r="N406" i="1"/>
  <c r="O406" i="1" s="1"/>
  <c r="J413" i="1"/>
  <c r="K417" i="3"/>
  <c r="I420" i="1"/>
  <c r="I423" i="1"/>
  <c r="K423" i="1" s="1"/>
  <c r="K428" i="3"/>
  <c r="K619" i="3"/>
  <c r="K149" i="4"/>
  <c r="L224" i="4"/>
  <c r="L222" i="4" s="1"/>
  <c r="K349" i="4"/>
  <c r="K368" i="4"/>
  <c r="K398" i="4"/>
  <c r="K449" i="4"/>
  <c r="O457" i="4"/>
  <c r="O601" i="4"/>
  <c r="K164" i="5"/>
  <c r="M312" i="5"/>
  <c r="P312" i="5" s="1"/>
  <c r="I367" i="5"/>
  <c r="K367" i="5" s="1"/>
  <c r="K380" i="5"/>
  <c r="K396" i="5"/>
  <c r="M68" i="6"/>
  <c r="P68" i="6" s="1"/>
  <c r="P70" i="6"/>
  <c r="M252" i="6"/>
  <c r="P254" i="6"/>
  <c r="P70" i="7"/>
  <c r="M68" i="7"/>
  <c r="L57" i="8"/>
  <c r="L55" i="8" s="1"/>
  <c r="N34" i="8"/>
  <c r="N14" i="8" s="1"/>
  <c r="P254" i="10"/>
  <c r="M252" i="10"/>
  <c r="P252" i="10" s="1"/>
  <c r="M22" i="10"/>
  <c r="M12" i="10" s="1"/>
  <c r="J184" i="1"/>
  <c r="J242" i="1"/>
  <c r="J308" i="1"/>
  <c r="K343" i="2"/>
  <c r="I367" i="2"/>
  <c r="K367" i="2" s="1"/>
  <c r="K397" i="2"/>
  <c r="K431" i="2"/>
  <c r="K435" i="2"/>
  <c r="N458" i="1"/>
  <c r="N552" i="1"/>
  <c r="J593" i="1"/>
  <c r="O597" i="2"/>
  <c r="K618" i="2"/>
  <c r="L279" i="1"/>
  <c r="O279" i="1" s="1"/>
  <c r="K285" i="3"/>
  <c r="K304" i="3"/>
  <c r="I374" i="1"/>
  <c r="K377" i="3"/>
  <c r="L380" i="1"/>
  <c r="O383" i="3"/>
  <c r="I398" i="1"/>
  <c r="N534" i="1"/>
  <c r="O597" i="3"/>
  <c r="L98" i="4"/>
  <c r="L96" i="4" s="1"/>
  <c r="K189" i="4"/>
  <c r="L32" i="4"/>
  <c r="K630" i="4"/>
  <c r="J186" i="1"/>
  <c r="J340" i="1"/>
  <c r="J343" i="1"/>
  <c r="J346" i="1"/>
  <c r="N349" i="1"/>
  <c r="N356" i="1"/>
  <c r="J363" i="1"/>
  <c r="J367" i="1"/>
  <c r="J373" i="1"/>
  <c r="O437" i="5"/>
  <c r="K533" i="5"/>
  <c r="O564" i="5"/>
  <c r="O584" i="5"/>
  <c r="K619" i="5"/>
  <c r="K612" i="5"/>
  <c r="N68" i="6"/>
  <c r="N66" i="6" s="1"/>
  <c r="N252" i="6"/>
  <c r="N250" i="6" s="1"/>
  <c r="N68" i="7"/>
  <c r="N66" i="7" s="1"/>
  <c r="P57" i="10"/>
  <c r="N55" i="10"/>
  <c r="J105" i="1"/>
  <c r="J109" i="1"/>
  <c r="J112" i="1"/>
  <c r="J265" i="1"/>
  <c r="J393" i="1"/>
  <c r="N541" i="1"/>
  <c r="J547" i="1"/>
  <c r="J551" i="1"/>
  <c r="J580" i="1"/>
  <c r="K616" i="2"/>
  <c r="J667" i="1"/>
  <c r="J672" i="1"/>
  <c r="K92" i="3"/>
  <c r="M120" i="3"/>
  <c r="J129" i="1"/>
  <c r="N252" i="3"/>
  <c r="N250" i="3" s="1"/>
  <c r="N387" i="1"/>
  <c r="L459" i="1"/>
  <c r="I518" i="1"/>
  <c r="I521" i="1"/>
  <c r="I524" i="1"/>
  <c r="I527" i="1"/>
  <c r="I530" i="1"/>
  <c r="I593" i="1"/>
  <c r="M55" i="4"/>
  <c r="M53" i="4" s="1"/>
  <c r="J92" i="1"/>
  <c r="K111" i="4"/>
  <c r="P122" i="4"/>
  <c r="J215" i="1"/>
  <c r="K219" i="4"/>
  <c r="K416" i="4"/>
  <c r="K425" i="4"/>
  <c r="K431" i="4"/>
  <c r="K435" i="4"/>
  <c r="N49" i="1"/>
  <c r="M273" i="5"/>
  <c r="K401" i="5"/>
  <c r="O406" i="5"/>
  <c r="K424" i="5"/>
  <c r="K427" i="5"/>
  <c r="J673" i="1"/>
  <c r="N57" i="1"/>
  <c r="K613" i="6"/>
  <c r="K616" i="6"/>
  <c r="J128" i="1"/>
  <c r="J162" i="1"/>
  <c r="P45" i="2"/>
  <c r="K138" i="2"/>
  <c r="K158" i="2"/>
  <c r="J163" i="1"/>
  <c r="J172" i="1"/>
  <c r="J176" i="1"/>
  <c r="P224" i="2"/>
  <c r="K304" i="2"/>
  <c r="K341" i="2"/>
  <c r="O347" i="2"/>
  <c r="J375" i="1"/>
  <c r="J379" i="1"/>
  <c r="K417" i="2"/>
  <c r="J420" i="1"/>
  <c r="K423" i="2"/>
  <c r="J432" i="1"/>
  <c r="J578" i="1"/>
  <c r="J589" i="1"/>
  <c r="K614" i="2"/>
  <c r="K626" i="2"/>
  <c r="K630" i="2"/>
  <c r="J655" i="1"/>
  <c r="J661" i="1"/>
  <c r="L122" i="3"/>
  <c r="O122" i="3" s="1"/>
  <c r="K264" i="3"/>
  <c r="L314" i="3"/>
  <c r="L312" i="3" s="1"/>
  <c r="K328" i="3"/>
  <c r="K370" i="3"/>
  <c r="K375" i="3"/>
  <c r="K381" i="3"/>
  <c r="K396" i="3"/>
  <c r="L438" i="1"/>
  <c r="O438" i="1" s="1"/>
  <c r="O601" i="3"/>
  <c r="N96" i="4"/>
  <c r="N94" i="4" s="1"/>
  <c r="K266" i="4"/>
  <c r="K533" i="4"/>
  <c r="K629" i="4"/>
  <c r="M68" i="5"/>
  <c r="P68" i="5" s="1"/>
  <c r="K109" i="5"/>
  <c r="K213" i="5"/>
  <c r="N331" i="5"/>
  <c r="N329" i="5" s="1"/>
  <c r="O533" i="5"/>
  <c r="K573" i="5"/>
  <c r="K580" i="5"/>
  <c r="O582" i="5"/>
  <c r="P45" i="6"/>
  <c r="M292" i="6"/>
  <c r="P292" i="6" s="1"/>
  <c r="P294" i="6"/>
  <c r="N43" i="2"/>
  <c r="P70" i="2"/>
  <c r="N144" i="1"/>
  <c r="J149" i="1"/>
  <c r="J158" i="1"/>
  <c r="L314" i="2"/>
  <c r="L312" i="2" s="1"/>
  <c r="J322" i="1"/>
  <c r="K424" i="2"/>
  <c r="K533" i="2"/>
  <c r="O535" i="2"/>
  <c r="K573" i="2"/>
  <c r="K612" i="2"/>
  <c r="K624" i="2"/>
  <c r="K628" i="2"/>
  <c r="L100" i="1"/>
  <c r="K189" i="3"/>
  <c r="K199" i="3"/>
  <c r="J341" i="1"/>
  <c r="J344" i="1"/>
  <c r="N347" i="1"/>
  <c r="J350" i="1"/>
  <c r="N358" i="1"/>
  <c r="I368" i="1"/>
  <c r="K449" i="3"/>
  <c r="K474" i="3"/>
  <c r="K498" i="3"/>
  <c r="O533" i="3"/>
  <c r="K573" i="3"/>
  <c r="I589" i="1"/>
  <c r="K629" i="3"/>
  <c r="K635" i="3"/>
  <c r="P98" i="4"/>
  <c r="K109" i="4"/>
  <c r="K112" i="4"/>
  <c r="O275" i="4"/>
  <c r="K341" i="4"/>
  <c r="O347" i="4"/>
  <c r="K350" i="4"/>
  <c r="K372" i="4"/>
  <c r="K375" i="4"/>
  <c r="O435" i="4"/>
  <c r="N32" i="4"/>
  <c r="N30" i="4" s="1"/>
  <c r="K138" i="5"/>
  <c r="K149" i="5"/>
  <c r="K176" i="5"/>
  <c r="P333" i="5"/>
  <c r="K345" i="5"/>
  <c r="O383" i="5"/>
  <c r="O404" i="5"/>
  <c r="K435" i="5"/>
  <c r="N292" i="6"/>
  <c r="N290" i="6" s="1"/>
  <c r="M252" i="8"/>
  <c r="M250" i="8" s="1"/>
  <c r="P250" i="8" s="1"/>
  <c r="P254" i="8"/>
  <c r="L33" i="8"/>
  <c r="O33" i="8" s="1"/>
  <c r="O353" i="8"/>
  <c r="O404" i="6"/>
  <c r="K426" i="6"/>
  <c r="K564" i="6"/>
  <c r="K611" i="6"/>
  <c r="K328" i="7"/>
  <c r="K164" i="8"/>
  <c r="N252" i="8"/>
  <c r="N250" i="8" s="1"/>
  <c r="O347" i="8"/>
  <c r="K350" i="8"/>
  <c r="N33" i="8"/>
  <c r="N13" i="8" s="1"/>
  <c r="K428" i="8"/>
  <c r="K498" i="8"/>
  <c r="O406" i="9"/>
  <c r="K474" i="9"/>
  <c r="N33" i="9"/>
  <c r="N13" i="9" s="1"/>
  <c r="L224" i="10"/>
  <c r="L222" i="10" s="1"/>
  <c r="L220" i="10" s="1"/>
  <c r="O406" i="10"/>
  <c r="K164" i="6"/>
  <c r="N312" i="6"/>
  <c r="N310" i="6" s="1"/>
  <c r="K418" i="6"/>
  <c r="O459" i="6"/>
  <c r="K630" i="6"/>
  <c r="K633" i="6"/>
  <c r="K199" i="7"/>
  <c r="N292" i="7"/>
  <c r="N290" i="7" s="1"/>
  <c r="N644" i="7"/>
  <c r="N640" i="7" s="1"/>
  <c r="N638" i="7" s="1"/>
  <c r="N636" i="7" s="1"/>
  <c r="K117" i="8"/>
  <c r="K200" i="8"/>
  <c r="K328" i="8"/>
  <c r="K345" i="8"/>
  <c r="K426" i="8"/>
  <c r="K432" i="8"/>
  <c r="O435" i="8"/>
  <c r="K465" i="8"/>
  <c r="K473" i="8"/>
  <c r="L254" i="9"/>
  <c r="L252" i="9" s="1"/>
  <c r="N312" i="9"/>
  <c r="N310" i="9" s="1"/>
  <c r="K350" i="9"/>
  <c r="K450" i="9"/>
  <c r="K498" i="9"/>
  <c r="N31" i="9"/>
  <c r="N29" i="9" s="1"/>
  <c r="M68" i="10"/>
  <c r="P68" i="10" s="1"/>
  <c r="K343" i="10"/>
  <c r="K396" i="10"/>
  <c r="O404" i="10"/>
  <c r="N96" i="6"/>
  <c r="N94" i="6" s="1"/>
  <c r="K199" i="6"/>
  <c r="K343" i="6"/>
  <c r="K402" i="6"/>
  <c r="K419" i="6"/>
  <c r="O457" i="6"/>
  <c r="K597" i="6"/>
  <c r="J651" i="6"/>
  <c r="M96" i="7"/>
  <c r="K381" i="7"/>
  <c r="K396" i="7"/>
  <c r="K421" i="7"/>
  <c r="K427" i="7"/>
  <c r="K430" i="7"/>
  <c r="K474" i="7"/>
  <c r="K482" i="7"/>
  <c r="N31" i="8"/>
  <c r="N29" i="8" s="1"/>
  <c r="K173" i="9"/>
  <c r="K229" i="9"/>
  <c r="N292" i="9"/>
  <c r="N290" i="9" s="1"/>
  <c r="K343" i="9"/>
  <c r="O582" i="9"/>
  <c r="O349" i="10"/>
  <c r="K402" i="10"/>
  <c r="N26" i="6"/>
  <c r="N16" i="6" s="1"/>
  <c r="L98" i="6"/>
  <c r="O98" i="6" s="1"/>
  <c r="N33" i="6"/>
  <c r="N13" i="6" s="1"/>
  <c r="K618" i="6"/>
  <c r="N26" i="7"/>
  <c r="N16" i="7" s="1"/>
  <c r="K350" i="7"/>
  <c r="K612" i="7"/>
  <c r="K631" i="7"/>
  <c r="K219" i="8"/>
  <c r="L254" i="8"/>
  <c r="O254" i="8" s="1"/>
  <c r="M273" i="8"/>
  <c r="M271" i="8" s="1"/>
  <c r="K341" i="8"/>
  <c r="O349" i="8"/>
  <c r="O354" i="8"/>
  <c r="K375" i="8"/>
  <c r="O380" i="8"/>
  <c r="K427" i="8"/>
  <c r="K430" i="8"/>
  <c r="K466" i="8"/>
  <c r="O599" i="8"/>
  <c r="K83" i="9"/>
  <c r="K416" i="9"/>
  <c r="K421" i="9"/>
  <c r="K464" i="9"/>
  <c r="K473" i="9"/>
  <c r="O568" i="9"/>
  <c r="K173" i="10"/>
  <c r="K219" i="10"/>
  <c r="K372" i="10"/>
  <c r="K401" i="10"/>
  <c r="K629" i="5"/>
  <c r="K634" i="5"/>
  <c r="L314" i="6"/>
  <c r="O314" i="6" s="1"/>
  <c r="K328" i="6"/>
  <c r="K401" i="6"/>
  <c r="K417" i="6"/>
  <c r="O455" i="6"/>
  <c r="K533" i="6"/>
  <c r="M22" i="7"/>
  <c r="M12" i="7" s="1"/>
  <c r="P57" i="7"/>
  <c r="N120" i="7"/>
  <c r="N118" i="7" s="1"/>
  <c r="L224" i="7"/>
  <c r="O224" i="7" s="1"/>
  <c r="M292" i="7"/>
  <c r="P292" i="7" s="1"/>
  <c r="K349" i="7"/>
  <c r="K380" i="7"/>
  <c r="K402" i="7"/>
  <c r="O533" i="7"/>
  <c r="K547" i="7"/>
  <c r="K629" i="7"/>
  <c r="L45" i="8"/>
  <c r="O45" i="8" s="1"/>
  <c r="K270" i="8"/>
  <c r="K285" i="8"/>
  <c r="K370" i="8"/>
  <c r="K396" i="8"/>
  <c r="K402" i="8"/>
  <c r="K450" i="8"/>
  <c r="O537" i="8"/>
  <c r="K573" i="8"/>
  <c r="O597" i="8"/>
  <c r="K630" i="8"/>
  <c r="K81" i="9"/>
  <c r="K93" i="9"/>
  <c r="K108" i="9"/>
  <c r="K111" i="9"/>
  <c r="P254" i="9"/>
  <c r="P333" i="9"/>
  <c r="K341" i="9"/>
  <c r="K455" i="9"/>
  <c r="K497" i="9"/>
  <c r="K533" i="9"/>
  <c r="L144" i="10"/>
  <c r="L142" i="10" s="1"/>
  <c r="K229" i="10"/>
  <c r="O380" i="10"/>
  <c r="L566" i="1"/>
  <c r="J577" i="1"/>
  <c r="N582" i="1"/>
  <c r="J169" i="1"/>
  <c r="J195" i="1"/>
  <c r="J200" i="1"/>
  <c r="J213" i="1"/>
  <c r="J233" i="1"/>
  <c r="N43" i="12"/>
  <c r="N41" i="12" s="1"/>
  <c r="O406" i="12"/>
  <c r="K423" i="12"/>
  <c r="L57" i="13"/>
  <c r="L55" i="13" s="1"/>
  <c r="L70" i="13"/>
  <c r="O70" i="13" s="1"/>
  <c r="L122" i="13"/>
  <c r="O122" i="13" s="1"/>
  <c r="I612" i="1"/>
  <c r="I615" i="1"/>
  <c r="I618" i="1"/>
  <c r="K620" i="13"/>
  <c r="K623" i="13"/>
  <c r="K189" i="14"/>
  <c r="K219" i="14"/>
  <c r="K418" i="14"/>
  <c r="K533" i="14"/>
  <c r="K629" i="14"/>
  <c r="K634" i="14"/>
  <c r="K309" i="15"/>
  <c r="K324" i="15"/>
  <c r="K368" i="15"/>
  <c r="K401" i="11"/>
  <c r="N96" i="12"/>
  <c r="N94" i="12" s="1"/>
  <c r="M120" i="12"/>
  <c r="P120" i="12" s="1"/>
  <c r="N273" i="12"/>
  <c r="N271" i="12" s="1"/>
  <c r="N312" i="13"/>
  <c r="N310" i="13" s="1"/>
  <c r="K397" i="13"/>
  <c r="K464" i="13"/>
  <c r="O564" i="13"/>
  <c r="O580" i="13"/>
  <c r="K591" i="13"/>
  <c r="K626" i="13"/>
  <c r="K614" i="14"/>
  <c r="K158" i="15"/>
  <c r="K235" i="15"/>
  <c r="N34" i="15"/>
  <c r="N14" i="15" s="1"/>
  <c r="K619" i="15"/>
  <c r="J651" i="15"/>
  <c r="K418" i="10"/>
  <c r="K421" i="10"/>
  <c r="K424" i="10"/>
  <c r="K449" i="10"/>
  <c r="N55" i="11"/>
  <c r="N53" i="11" s="1"/>
  <c r="L32" i="11"/>
  <c r="L30" i="11" s="1"/>
  <c r="P98" i="12"/>
  <c r="K219" i="12"/>
  <c r="N312" i="12"/>
  <c r="N310" i="12" s="1"/>
  <c r="K377" i="12"/>
  <c r="K396" i="12"/>
  <c r="O404" i="12"/>
  <c r="K418" i="12"/>
  <c r="O437" i="12"/>
  <c r="P45" i="13"/>
  <c r="L98" i="13"/>
  <c r="L96" i="13" s="1"/>
  <c r="L144" i="13"/>
  <c r="O144" i="13" s="1"/>
  <c r="P314" i="13"/>
  <c r="O437" i="13"/>
  <c r="K589" i="13"/>
  <c r="K597" i="13"/>
  <c r="O599" i="13"/>
  <c r="K628" i="13"/>
  <c r="M96" i="14"/>
  <c r="P96" i="14" s="1"/>
  <c r="N252" i="14"/>
  <c r="N250" i="14" s="1"/>
  <c r="K427" i="14"/>
  <c r="K455" i="14"/>
  <c r="O459" i="14"/>
  <c r="L333" i="15"/>
  <c r="O333" i="15" s="1"/>
  <c r="K497" i="15"/>
  <c r="K617" i="15"/>
  <c r="M120" i="11"/>
  <c r="O383" i="11"/>
  <c r="P57" i="12"/>
  <c r="M68" i="12"/>
  <c r="P68" i="12" s="1"/>
  <c r="K158" i="12"/>
  <c r="K189" i="12"/>
  <c r="N32" i="12"/>
  <c r="N30" i="12" s="1"/>
  <c r="N31" i="13"/>
  <c r="N29" i="13" s="1"/>
  <c r="O457" i="13"/>
  <c r="K474" i="13"/>
  <c r="K573" i="13"/>
  <c r="K595" i="13"/>
  <c r="M142" i="14"/>
  <c r="M140" i="14" s="1"/>
  <c r="L314" i="14"/>
  <c r="O314" i="14" s="1"/>
  <c r="K328" i="14"/>
  <c r="K397" i="14"/>
  <c r="K618" i="14"/>
  <c r="M96" i="15"/>
  <c r="P96" i="15" s="1"/>
  <c r="N312" i="15"/>
  <c r="N310" i="15" s="1"/>
  <c r="K430" i="15"/>
  <c r="K416" i="10"/>
  <c r="K450" i="10"/>
  <c r="O533" i="10"/>
  <c r="K547" i="10"/>
  <c r="P45" i="11"/>
  <c r="N96" i="11"/>
  <c r="N94" i="11" s="1"/>
  <c r="P254" i="11"/>
  <c r="L314" i="11"/>
  <c r="O314" i="11" s="1"/>
  <c r="K369" i="11"/>
  <c r="O404" i="11"/>
  <c r="K402" i="12"/>
  <c r="K427" i="12"/>
  <c r="K449" i="12"/>
  <c r="O455" i="12"/>
  <c r="O535" i="12"/>
  <c r="K133" i="13"/>
  <c r="M252" i="13"/>
  <c r="L314" i="13"/>
  <c r="O314" i="13" s="1"/>
  <c r="K328" i="13"/>
  <c r="K421" i="13"/>
  <c r="O435" i="13"/>
  <c r="K449" i="13"/>
  <c r="K625" i="13"/>
  <c r="L45" i="14"/>
  <c r="L43" i="14" s="1"/>
  <c r="N33" i="14"/>
  <c r="N13" i="14" s="1"/>
  <c r="K631" i="14"/>
  <c r="L98" i="15"/>
  <c r="O98" i="15" s="1"/>
  <c r="N252" i="15"/>
  <c r="N250" i="15" s="1"/>
  <c r="K265" i="15"/>
  <c r="K328" i="15"/>
  <c r="K402" i="15"/>
  <c r="K416" i="15"/>
  <c r="O455" i="15"/>
  <c r="K428" i="10"/>
  <c r="K435" i="10"/>
  <c r="O437" i="10"/>
  <c r="O599" i="10"/>
  <c r="L45" i="11"/>
  <c r="M292" i="11"/>
  <c r="P292" i="11" s="1"/>
  <c r="M331" i="11"/>
  <c r="M329" i="11" s="1"/>
  <c r="K341" i="11"/>
  <c r="O566" i="11"/>
  <c r="L98" i="12"/>
  <c r="O98" i="12" s="1"/>
  <c r="L144" i="12"/>
  <c r="O144" i="12" s="1"/>
  <c r="L294" i="12"/>
  <c r="L292" i="12" s="1"/>
  <c r="O292" i="12" s="1"/>
  <c r="K430" i="13"/>
  <c r="O455" i="13"/>
  <c r="K564" i="13"/>
  <c r="N26" i="14"/>
  <c r="N16" i="14" s="1"/>
  <c r="K345" i="14"/>
  <c r="O404" i="14"/>
  <c r="K435" i="14"/>
  <c r="K482" i="14"/>
  <c r="K616" i="14"/>
  <c r="L57" i="15"/>
  <c r="O57" i="15" s="1"/>
  <c r="K117" i="15"/>
  <c r="P224" i="15"/>
  <c r="K270" i="15"/>
  <c r="K397" i="15"/>
  <c r="K428" i="15"/>
  <c r="K474" i="15"/>
  <c r="O597" i="15"/>
  <c r="J229" i="1"/>
  <c r="L296" i="1"/>
  <c r="J304" i="1"/>
  <c r="I370" i="1"/>
  <c r="I485" i="1"/>
  <c r="K485" i="1" s="1"/>
  <c r="I497" i="1"/>
  <c r="I592" i="1"/>
  <c r="K592" i="1" s="1"/>
  <c r="I596" i="1"/>
  <c r="K596" i="1" s="1"/>
  <c r="L24" i="2"/>
  <c r="O24" i="2" s="1"/>
  <c r="L144" i="2"/>
  <c r="O144" i="2" s="1"/>
  <c r="K164" i="2"/>
  <c r="K173" i="2"/>
  <c r="J210" i="1"/>
  <c r="M222" i="2"/>
  <c r="M220" i="2" s="1"/>
  <c r="J246" i="1"/>
  <c r="P294" i="2"/>
  <c r="N312" i="2"/>
  <c r="N310" i="2" s="1"/>
  <c r="L333" i="2"/>
  <c r="L331" i="2" s="1"/>
  <c r="L329" i="2" s="1"/>
  <c r="K381" i="2"/>
  <c r="K401" i="2"/>
  <c r="O406" i="2"/>
  <c r="K419" i="2"/>
  <c r="K427" i="2"/>
  <c r="K455" i="2"/>
  <c r="K481" i="2"/>
  <c r="K499" i="2"/>
  <c r="O566" i="2"/>
  <c r="N26" i="3"/>
  <c r="K64" i="3"/>
  <c r="N22" i="3"/>
  <c r="K81" i="3"/>
  <c r="K87" i="3"/>
  <c r="K110" i="3"/>
  <c r="K113" i="3"/>
  <c r="K349" i="3"/>
  <c r="O354" i="3"/>
  <c r="O380" i="3"/>
  <c r="O401" i="3"/>
  <c r="O404" i="3"/>
  <c r="K420" i="3"/>
  <c r="K423" i="3"/>
  <c r="K455" i="3"/>
  <c r="O459" i="3"/>
  <c r="K564" i="3"/>
  <c r="K612" i="3"/>
  <c r="K614" i="3"/>
  <c r="K616" i="3"/>
  <c r="K618" i="3"/>
  <c r="K620" i="3"/>
  <c r="K622" i="3"/>
  <c r="K624" i="3"/>
  <c r="K626" i="3"/>
  <c r="P45" i="5"/>
  <c r="M43" i="5"/>
  <c r="M41" i="5" s="1"/>
  <c r="K625" i="5"/>
  <c r="K623" i="5"/>
  <c r="K621" i="5"/>
  <c r="K622" i="5"/>
  <c r="K620" i="5"/>
  <c r="N22" i="2"/>
  <c r="N45" i="1"/>
  <c r="L145" i="1"/>
  <c r="I199" i="1"/>
  <c r="N224" i="1"/>
  <c r="M275" i="1"/>
  <c r="N279" i="1"/>
  <c r="N337" i="1"/>
  <c r="I373" i="1"/>
  <c r="K373" i="1" s="1"/>
  <c r="L436" i="1"/>
  <c r="O436" i="1" s="1"/>
  <c r="I473" i="1"/>
  <c r="L535" i="1"/>
  <c r="I631" i="1"/>
  <c r="L122" i="2"/>
  <c r="O122" i="2" s="1"/>
  <c r="J267" i="1"/>
  <c r="P275" i="2"/>
  <c r="K369" i="2"/>
  <c r="K371" i="2"/>
  <c r="K430" i="2"/>
  <c r="O533" i="2"/>
  <c r="K590" i="2"/>
  <c r="K594" i="2"/>
  <c r="O600" i="2"/>
  <c r="K665" i="2"/>
  <c r="L34" i="3"/>
  <c r="N55" i="3"/>
  <c r="N53" i="3" s="1"/>
  <c r="J212" i="1"/>
  <c r="M222" i="3"/>
  <c r="P222" i="3" s="1"/>
  <c r="K368" i="3"/>
  <c r="K398" i="3"/>
  <c r="K435" i="3"/>
  <c r="O438" i="3"/>
  <c r="K589" i="3"/>
  <c r="K593" i="3"/>
  <c r="K625" i="4"/>
  <c r="K623" i="4"/>
  <c r="K621" i="4"/>
  <c r="K626" i="4"/>
  <c r="K624" i="4"/>
  <c r="K622" i="4"/>
  <c r="K620" i="4"/>
  <c r="N122" i="1"/>
  <c r="I244" i="1"/>
  <c r="K244" i="1" s="1"/>
  <c r="I451" i="1"/>
  <c r="K451" i="1" s="1"/>
  <c r="I503" i="1"/>
  <c r="K503" i="1" s="1"/>
  <c r="I515" i="1"/>
  <c r="K515" i="1" s="1"/>
  <c r="I533" i="1"/>
  <c r="K533" i="1" s="1"/>
  <c r="I580" i="1"/>
  <c r="J623" i="1"/>
  <c r="K85" i="2"/>
  <c r="P122" i="2"/>
  <c r="K200" i="2"/>
  <c r="L275" i="2"/>
  <c r="L273" i="2" s="1"/>
  <c r="L271" i="2" s="1"/>
  <c r="N331" i="2"/>
  <c r="N329" i="2" s="1"/>
  <c r="O401" i="2"/>
  <c r="K425" i="2"/>
  <c r="K473" i="2"/>
  <c r="K497" i="2"/>
  <c r="O564" i="2"/>
  <c r="K611" i="2"/>
  <c r="K613" i="2"/>
  <c r="K615" i="2"/>
  <c r="K617" i="2"/>
  <c r="K621" i="2"/>
  <c r="K623" i="2"/>
  <c r="L640" i="2"/>
  <c r="O640" i="2" s="1"/>
  <c r="M41" i="3"/>
  <c r="L57" i="3"/>
  <c r="O57" i="3" s="1"/>
  <c r="K65" i="3"/>
  <c r="K88" i="3"/>
  <c r="O102" i="3"/>
  <c r="K108" i="3"/>
  <c r="K111" i="3"/>
  <c r="K138" i="3"/>
  <c r="L254" i="3"/>
  <c r="K309" i="3"/>
  <c r="J323" i="1"/>
  <c r="L333" i="3"/>
  <c r="L331" i="3" s="1"/>
  <c r="K340" i="3"/>
  <c r="K343" i="3"/>
  <c r="O349" i="3"/>
  <c r="O352" i="3"/>
  <c r="J399" i="1"/>
  <c r="K402" i="3"/>
  <c r="K421" i="3"/>
  <c r="K432" i="3"/>
  <c r="O455" i="3"/>
  <c r="J465" i="1"/>
  <c r="J471" i="1"/>
  <c r="J477" i="1"/>
  <c r="J483" i="1"/>
  <c r="J489" i="1"/>
  <c r="J495" i="1"/>
  <c r="J501" i="1"/>
  <c r="J507" i="1"/>
  <c r="J513" i="1"/>
  <c r="N538" i="1"/>
  <c r="J545" i="1"/>
  <c r="N34" i="3"/>
  <c r="O564" i="3"/>
  <c r="L57" i="4"/>
  <c r="O57" i="4" s="1"/>
  <c r="K328" i="4"/>
  <c r="J86" i="1"/>
  <c r="K86" i="1" s="1"/>
  <c r="N310" i="3"/>
  <c r="J88" i="1"/>
  <c r="I111" i="1"/>
  <c r="I235" i="1"/>
  <c r="I377" i="1"/>
  <c r="I479" i="1"/>
  <c r="K479" i="1" s="1"/>
  <c r="I491" i="1"/>
  <c r="K491" i="1" s="1"/>
  <c r="I648" i="1"/>
  <c r="N26" i="2"/>
  <c r="N16" i="2" s="1"/>
  <c r="J157" i="1"/>
  <c r="N33" i="2"/>
  <c r="N13" i="2" s="1"/>
  <c r="J595" i="1"/>
  <c r="N644" i="2"/>
  <c r="N640" i="2" s="1"/>
  <c r="N638" i="2" s="1"/>
  <c r="N636" i="2" s="1"/>
  <c r="K149" i="3"/>
  <c r="K158" i="3"/>
  <c r="K176" i="3"/>
  <c r="K306" i="3"/>
  <c r="K324" i="3"/>
  <c r="K376" i="3"/>
  <c r="K450" i="3"/>
  <c r="N462" i="1"/>
  <c r="K481" i="3"/>
  <c r="K499" i="3"/>
  <c r="J607" i="1"/>
  <c r="K611" i="3"/>
  <c r="K613" i="3"/>
  <c r="K615" i="3"/>
  <c r="K617" i="3"/>
  <c r="K621" i="3"/>
  <c r="K623" i="3"/>
  <c r="J646" i="1"/>
  <c r="K427" i="4"/>
  <c r="N68" i="5"/>
  <c r="N66" i="5" s="1"/>
  <c r="K199" i="5"/>
  <c r="L34" i="7"/>
  <c r="O385" i="7"/>
  <c r="O601" i="13"/>
  <c r="L34" i="13"/>
  <c r="N102" i="1"/>
  <c r="I467" i="1"/>
  <c r="K467" i="1" s="1"/>
  <c r="L584" i="1"/>
  <c r="L601" i="1"/>
  <c r="K81" i="2"/>
  <c r="J133" i="1"/>
  <c r="P144" i="2"/>
  <c r="K149" i="2"/>
  <c r="K235" i="2"/>
  <c r="N34" i="2"/>
  <c r="N14" i="2" s="1"/>
  <c r="O380" i="2"/>
  <c r="O385" i="2"/>
  <c r="K418" i="2"/>
  <c r="K421" i="2"/>
  <c r="K426" i="2"/>
  <c r="K429" i="2"/>
  <c r="O437" i="2"/>
  <c r="K465" i="2"/>
  <c r="K474" i="2"/>
  <c r="K498" i="2"/>
  <c r="K547" i="2"/>
  <c r="O568" i="2"/>
  <c r="J653" i="1"/>
  <c r="J660" i="1"/>
  <c r="L98" i="3"/>
  <c r="O98" i="3" s="1"/>
  <c r="K109" i="3"/>
  <c r="K164" i="3"/>
  <c r="K201" i="3"/>
  <c r="K289" i="3"/>
  <c r="K341" i="3"/>
  <c r="O347" i="3"/>
  <c r="K401" i="3"/>
  <c r="O406" i="3"/>
  <c r="K547" i="3"/>
  <c r="N142" i="4"/>
  <c r="N140" i="4" s="1"/>
  <c r="N22" i="4"/>
  <c r="K186" i="5"/>
  <c r="O599" i="3"/>
  <c r="P45" i="4"/>
  <c r="L70" i="4"/>
  <c r="L68" i="4" s="1"/>
  <c r="L122" i="4"/>
  <c r="L120" i="4" s="1"/>
  <c r="K200" i="4"/>
  <c r="K249" i="4"/>
  <c r="N331" i="4"/>
  <c r="N329" i="4" s="1"/>
  <c r="K377" i="4"/>
  <c r="K417" i="4"/>
  <c r="K430" i="4"/>
  <c r="K455" i="4"/>
  <c r="O459" i="4"/>
  <c r="N34" i="4"/>
  <c r="N14" i="4" s="1"/>
  <c r="O564" i="4"/>
  <c r="O599" i="4"/>
  <c r="M252" i="5"/>
  <c r="P252" i="5" s="1"/>
  <c r="N384" i="1"/>
  <c r="N403" i="1"/>
  <c r="J417" i="1"/>
  <c r="K421" i="5"/>
  <c r="K426" i="5"/>
  <c r="K455" i="5"/>
  <c r="O459" i="5"/>
  <c r="N558" i="1"/>
  <c r="O566" i="5"/>
  <c r="N569" i="1"/>
  <c r="N587" i="1"/>
  <c r="J590" i="1"/>
  <c r="J592" i="1"/>
  <c r="O597" i="5"/>
  <c r="N603" i="1"/>
  <c r="J628" i="1"/>
  <c r="K631" i="5"/>
  <c r="J651" i="5"/>
  <c r="N31" i="7"/>
  <c r="P144" i="9"/>
  <c r="M142" i="9"/>
  <c r="M140" i="9" s="1"/>
  <c r="N43" i="4"/>
  <c r="N258" i="1"/>
  <c r="J303" i="1"/>
  <c r="J610" i="1"/>
  <c r="K612" i="4"/>
  <c r="K614" i="4"/>
  <c r="K616" i="4"/>
  <c r="K618" i="4"/>
  <c r="J651" i="4"/>
  <c r="J107" i="1"/>
  <c r="N120" i="5"/>
  <c r="N118" i="5" s="1"/>
  <c r="N228" i="1"/>
  <c r="J234" i="1"/>
  <c r="N382" i="1"/>
  <c r="I625" i="1"/>
  <c r="P120" i="7"/>
  <c r="M118" i="7"/>
  <c r="P118" i="7" s="1"/>
  <c r="N96" i="9"/>
  <c r="N94" i="9" s="1"/>
  <c r="P98" i="9"/>
  <c r="N142" i="9"/>
  <c r="N140" i="9" s="1"/>
  <c r="J185" i="1"/>
  <c r="N31" i="4"/>
  <c r="N29" i="4" s="1"/>
  <c r="K418" i="4"/>
  <c r="K428" i="4"/>
  <c r="O455" i="4"/>
  <c r="N585" i="1"/>
  <c r="J671" i="4"/>
  <c r="P57" i="5"/>
  <c r="J77" i="1"/>
  <c r="J81" i="1"/>
  <c r="J87" i="1"/>
  <c r="K92" i="5"/>
  <c r="K200" i="5"/>
  <c r="J264" i="1"/>
  <c r="J377" i="1"/>
  <c r="N401" i="1"/>
  <c r="N408" i="1"/>
  <c r="J415" i="1"/>
  <c r="K422" i="5"/>
  <c r="K432" i="5"/>
  <c r="O455" i="5"/>
  <c r="N32" i="5"/>
  <c r="N30" i="5" s="1"/>
  <c r="K618" i="5"/>
  <c r="O437" i="7"/>
  <c r="N32" i="7"/>
  <c r="N30" i="7" s="1"/>
  <c r="L23" i="8"/>
  <c r="O23" i="8" s="1"/>
  <c r="M220" i="8"/>
  <c r="O74" i="9"/>
  <c r="O294" i="10"/>
  <c r="L292" i="10"/>
  <c r="K138" i="4"/>
  <c r="J160" i="1"/>
  <c r="K201" i="4"/>
  <c r="M250" i="4"/>
  <c r="K265" i="4"/>
  <c r="L314" i="4"/>
  <c r="K340" i="4"/>
  <c r="K343" i="4"/>
  <c r="O352" i="4"/>
  <c r="K402" i="4"/>
  <c r="K421" i="4"/>
  <c r="K426" i="4"/>
  <c r="K466" i="4"/>
  <c r="K481" i="4"/>
  <c r="K499" i="4"/>
  <c r="L57" i="5"/>
  <c r="L55" i="5" s="1"/>
  <c r="N96" i="5"/>
  <c r="N94" i="5" s="1"/>
  <c r="K185" i="5"/>
  <c r="K216" i="5"/>
  <c r="N252" i="5"/>
  <c r="N250" i="5" s="1"/>
  <c r="P294" i="5"/>
  <c r="J324" i="1"/>
  <c r="O380" i="5"/>
  <c r="K402" i="5"/>
  <c r="K430" i="5"/>
  <c r="K450" i="5"/>
  <c r="K466" i="5"/>
  <c r="K481" i="5"/>
  <c r="K616" i="5"/>
  <c r="M220" i="6"/>
  <c r="P254" i="7"/>
  <c r="M252" i="7"/>
  <c r="P294" i="8"/>
  <c r="M292" i="8"/>
  <c r="N331" i="8"/>
  <c r="N329" i="8" s="1"/>
  <c r="P333" i="8"/>
  <c r="L34" i="8"/>
  <c r="O568" i="8"/>
  <c r="O258" i="10"/>
  <c r="M68" i="4"/>
  <c r="P68" i="4" s="1"/>
  <c r="K92" i="4"/>
  <c r="P144" i="4"/>
  <c r="L254" i="4"/>
  <c r="L252" i="4" s="1"/>
  <c r="K397" i="4"/>
  <c r="J446" i="1"/>
  <c r="J450" i="1"/>
  <c r="K547" i="4"/>
  <c r="K564" i="4"/>
  <c r="K613" i="4"/>
  <c r="K615" i="4"/>
  <c r="K617" i="4"/>
  <c r="N668" i="1"/>
  <c r="P98" i="5"/>
  <c r="P144" i="5"/>
  <c r="L224" i="5"/>
  <c r="L222" i="5" s="1"/>
  <c r="L254" i="5"/>
  <c r="L252" i="5" s="1"/>
  <c r="J261" i="1"/>
  <c r="L294" i="5"/>
  <c r="L292" i="5" s="1"/>
  <c r="N312" i="5"/>
  <c r="N310" i="5" s="1"/>
  <c r="K340" i="5"/>
  <c r="K547" i="5"/>
  <c r="K614" i="5"/>
  <c r="L640" i="5"/>
  <c r="O640" i="5" s="1"/>
  <c r="O403" i="6"/>
  <c r="L31" i="6"/>
  <c r="L11" i="6" s="1"/>
  <c r="O70" i="7"/>
  <c r="L68" i="7"/>
  <c r="L98" i="8"/>
  <c r="O98" i="8" s="1"/>
  <c r="P57" i="9"/>
  <c r="M55" i="9"/>
  <c r="M53" i="9" s="1"/>
  <c r="P70" i="9"/>
  <c r="M68" i="9"/>
  <c r="M96" i="9"/>
  <c r="P102" i="9"/>
  <c r="K340" i="6"/>
  <c r="O406" i="6"/>
  <c r="K449" i="6"/>
  <c r="K474" i="6"/>
  <c r="K649" i="6"/>
  <c r="N22" i="7"/>
  <c r="L314" i="8"/>
  <c r="L312" i="8" s="1"/>
  <c r="O312" i="8" s="1"/>
  <c r="K340" i="8"/>
  <c r="N32" i="8"/>
  <c r="N30" i="8" s="1"/>
  <c r="K464" i="8"/>
  <c r="K82" i="9"/>
  <c r="K249" i="9"/>
  <c r="K341" i="10"/>
  <c r="L34" i="10"/>
  <c r="O385" i="10"/>
  <c r="P224" i="14"/>
  <c r="M222" i="14"/>
  <c r="M220" i="14" s="1"/>
  <c r="O566" i="14"/>
  <c r="L32" i="14"/>
  <c r="L30" i="14" s="1"/>
  <c r="J666" i="1"/>
  <c r="N43" i="6"/>
  <c r="N41" i="6" s="1"/>
  <c r="N120" i="6"/>
  <c r="N118" i="6" s="1"/>
  <c r="K200" i="6"/>
  <c r="L254" i="6"/>
  <c r="O254" i="6" s="1"/>
  <c r="L294" i="6"/>
  <c r="L292" i="6" s="1"/>
  <c r="K341" i="6"/>
  <c r="I367" i="6"/>
  <c r="K367" i="6" s="1"/>
  <c r="K427" i="6"/>
  <c r="K450" i="6"/>
  <c r="O564" i="6"/>
  <c r="K614" i="6"/>
  <c r="K631" i="6"/>
  <c r="O649" i="6"/>
  <c r="N644" i="6"/>
  <c r="N640" i="6" s="1"/>
  <c r="N638" i="6" s="1"/>
  <c r="N636" i="6" s="1"/>
  <c r="N55" i="7"/>
  <c r="N53" i="7" s="1"/>
  <c r="N252" i="7"/>
  <c r="N250" i="7" s="1"/>
  <c r="M273" i="7"/>
  <c r="P333" i="7"/>
  <c r="K397" i="7"/>
  <c r="K425" i="7"/>
  <c r="K428" i="7"/>
  <c r="N34" i="7"/>
  <c r="N14" i="7" s="1"/>
  <c r="K597" i="7"/>
  <c r="O599" i="7"/>
  <c r="K632" i="7"/>
  <c r="K132" i="8"/>
  <c r="K149" i="8"/>
  <c r="L333" i="8"/>
  <c r="L331" i="8" s="1"/>
  <c r="K368" i="8"/>
  <c r="K423" i="8"/>
  <c r="K547" i="8"/>
  <c r="K628" i="8"/>
  <c r="K631" i="8"/>
  <c r="K634" i="8"/>
  <c r="N644" i="8"/>
  <c r="N640" i="8" s="1"/>
  <c r="N638" i="8" s="1"/>
  <c r="N636" i="8" s="1"/>
  <c r="K64" i="9"/>
  <c r="K80" i="9"/>
  <c r="L98" i="9"/>
  <c r="O98" i="9" s="1"/>
  <c r="K164" i="9"/>
  <c r="K199" i="9"/>
  <c r="N26" i="9"/>
  <c r="N16" i="9" s="1"/>
  <c r="K349" i="9"/>
  <c r="K499" i="9"/>
  <c r="P98" i="10"/>
  <c r="M96" i="10"/>
  <c r="K430" i="10"/>
  <c r="N31" i="11"/>
  <c r="N29" i="11" s="1"/>
  <c r="M273" i="6"/>
  <c r="M312" i="6"/>
  <c r="K425" i="6"/>
  <c r="O437" i="6"/>
  <c r="K465" i="6"/>
  <c r="O533" i="6"/>
  <c r="N32" i="6"/>
  <c r="N30" i="6" s="1"/>
  <c r="K612" i="6"/>
  <c r="K619" i="6"/>
  <c r="K629" i="6"/>
  <c r="J671" i="6"/>
  <c r="P122" i="7"/>
  <c r="K620" i="7"/>
  <c r="K622" i="7"/>
  <c r="K624" i="7"/>
  <c r="J651" i="7"/>
  <c r="N26" i="8"/>
  <c r="N16" i="8" s="1"/>
  <c r="J671" i="8"/>
  <c r="M222" i="9"/>
  <c r="K473" i="6"/>
  <c r="K617" i="6"/>
  <c r="O648" i="6"/>
  <c r="L122" i="7"/>
  <c r="O122" i="7" s="1"/>
  <c r="K201" i="7"/>
  <c r="L314" i="7"/>
  <c r="L312" i="7" s="1"/>
  <c r="K418" i="7"/>
  <c r="K423" i="7"/>
  <c r="K435" i="7"/>
  <c r="O459" i="7"/>
  <c r="K618" i="7"/>
  <c r="K628" i="7"/>
  <c r="K173" i="8"/>
  <c r="K189" i="8"/>
  <c r="K199" i="8"/>
  <c r="P224" i="8"/>
  <c r="L294" i="8"/>
  <c r="L292" i="8" s="1"/>
  <c r="O352" i="8"/>
  <c r="O383" i="8"/>
  <c r="K397" i="8"/>
  <c r="K419" i="8"/>
  <c r="K431" i="8"/>
  <c r="K482" i="8"/>
  <c r="O126" i="9"/>
  <c r="O337" i="9"/>
  <c r="K591" i="9"/>
  <c r="O57" i="10"/>
  <c r="L55" i="10"/>
  <c r="L53" i="10" s="1"/>
  <c r="K423" i="10"/>
  <c r="K626" i="11"/>
  <c r="K621" i="11"/>
  <c r="K623" i="11"/>
  <c r="K625" i="11"/>
  <c r="M22" i="12"/>
  <c r="M12" i="12" s="1"/>
  <c r="P224" i="12"/>
  <c r="M222" i="12"/>
  <c r="M220" i="12" s="1"/>
  <c r="L333" i="6"/>
  <c r="L331" i="6" s="1"/>
  <c r="L329" i="6" s="1"/>
  <c r="O347" i="6"/>
  <c r="K421" i="6"/>
  <c r="K455" i="6"/>
  <c r="K481" i="6"/>
  <c r="N31" i="6"/>
  <c r="N29" i="6" s="1"/>
  <c r="M55" i="7"/>
  <c r="M53" i="7" s="1"/>
  <c r="L275" i="7"/>
  <c r="L24" i="7"/>
  <c r="O24" i="7" s="1"/>
  <c r="K416" i="7"/>
  <c r="K424" i="7"/>
  <c r="O457" i="7"/>
  <c r="K616" i="7"/>
  <c r="I619" i="1"/>
  <c r="K235" i="8"/>
  <c r="L275" i="8"/>
  <c r="O275" i="8" s="1"/>
  <c r="M331" i="8"/>
  <c r="I367" i="8"/>
  <c r="K367" i="8" s="1"/>
  <c r="K381" i="8"/>
  <c r="K417" i="8"/>
  <c r="K429" i="8"/>
  <c r="K435" i="8"/>
  <c r="K455" i="8"/>
  <c r="K533" i="8"/>
  <c r="K650" i="8"/>
  <c r="K113" i="9"/>
  <c r="L275" i="9"/>
  <c r="L273" i="9" s="1"/>
  <c r="O273" i="9" s="1"/>
  <c r="P314" i="9"/>
  <c r="M312" i="9"/>
  <c r="P312" i="9" s="1"/>
  <c r="M331" i="9"/>
  <c r="K370" i="9"/>
  <c r="K428" i="9"/>
  <c r="N273" i="9"/>
  <c r="N271" i="9" s="1"/>
  <c r="L314" i="9"/>
  <c r="O314" i="9" s="1"/>
  <c r="K328" i="9"/>
  <c r="K340" i="9"/>
  <c r="K368" i="9"/>
  <c r="K376" i="9"/>
  <c r="K380" i="9"/>
  <c r="K419" i="9"/>
  <c r="K431" i="9"/>
  <c r="K466" i="9"/>
  <c r="K619" i="9"/>
  <c r="K630" i="9"/>
  <c r="K149" i="10"/>
  <c r="N292" i="10"/>
  <c r="N290" i="10" s="1"/>
  <c r="L333" i="10"/>
  <c r="L331" i="10" s="1"/>
  <c r="N31" i="10"/>
  <c r="K370" i="10"/>
  <c r="K426" i="10"/>
  <c r="N33" i="10"/>
  <c r="N13" i="10" s="1"/>
  <c r="O564" i="10"/>
  <c r="O597" i="10"/>
  <c r="K629" i="10"/>
  <c r="K635" i="10"/>
  <c r="P49" i="11"/>
  <c r="M26" i="11"/>
  <c r="M16" i="11" s="1"/>
  <c r="O337" i="11"/>
  <c r="N331" i="11"/>
  <c r="K628" i="11"/>
  <c r="O665" i="11"/>
  <c r="L640" i="11"/>
  <c r="O640" i="11" s="1"/>
  <c r="L333" i="12"/>
  <c r="L331" i="12" s="1"/>
  <c r="L329" i="12" s="1"/>
  <c r="O404" i="9"/>
  <c r="K427" i="9"/>
  <c r="K547" i="9"/>
  <c r="K595" i="9"/>
  <c r="K628" i="9"/>
  <c r="K631" i="9"/>
  <c r="K634" i="9"/>
  <c r="N644" i="9"/>
  <c r="N640" i="9" s="1"/>
  <c r="N638" i="9" s="1"/>
  <c r="N636" i="9" s="1"/>
  <c r="O347" i="10"/>
  <c r="K368" i="10"/>
  <c r="K422" i="10"/>
  <c r="N26" i="11"/>
  <c r="N16" i="11" s="1"/>
  <c r="N68" i="11"/>
  <c r="N66" i="11" s="1"/>
  <c r="L98" i="11"/>
  <c r="P275" i="11"/>
  <c r="M273" i="11"/>
  <c r="P273" i="11" s="1"/>
  <c r="K547" i="11"/>
  <c r="O126" i="12"/>
  <c r="K397" i="9"/>
  <c r="K425" i="9"/>
  <c r="O537" i="9"/>
  <c r="K593" i="9"/>
  <c r="P224" i="10"/>
  <c r="N222" i="10"/>
  <c r="K420" i="10"/>
  <c r="K432" i="10"/>
  <c r="O435" i="10"/>
  <c r="O535" i="10"/>
  <c r="K573" i="10"/>
  <c r="K343" i="11"/>
  <c r="P254" i="12"/>
  <c r="M252" i="12"/>
  <c r="K616" i="12"/>
  <c r="K618" i="12"/>
  <c r="K612" i="12"/>
  <c r="K219" i="11"/>
  <c r="P252" i="11"/>
  <c r="N273" i="11"/>
  <c r="N271" i="11" s="1"/>
  <c r="P314" i="11"/>
  <c r="P333" i="11"/>
  <c r="K615" i="11"/>
  <c r="K340" i="12"/>
  <c r="K349" i="12"/>
  <c r="K398" i="13"/>
  <c r="K613" i="11"/>
  <c r="P122" i="13"/>
  <c r="K465" i="13"/>
  <c r="O568" i="13"/>
  <c r="J651" i="10"/>
  <c r="L144" i="11"/>
  <c r="L142" i="11" s="1"/>
  <c r="L140" i="11" s="1"/>
  <c r="K199" i="11"/>
  <c r="K328" i="11"/>
  <c r="K381" i="11"/>
  <c r="O406" i="11"/>
  <c r="K417" i="11"/>
  <c r="K420" i="11"/>
  <c r="K423" i="11"/>
  <c r="K426" i="11"/>
  <c r="K429" i="11"/>
  <c r="K432" i="11"/>
  <c r="O437" i="11"/>
  <c r="K466" i="11"/>
  <c r="K611" i="11"/>
  <c r="K111" i="12"/>
  <c r="N120" i="12"/>
  <c r="N118" i="12" s="1"/>
  <c r="N222" i="12"/>
  <c r="M273" i="12"/>
  <c r="O352" i="12"/>
  <c r="K431" i="12"/>
  <c r="K564" i="12"/>
  <c r="K304" i="13"/>
  <c r="K309" i="13"/>
  <c r="K343" i="13"/>
  <c r="O349" i="13"/>
  <c r="O352" i="13"/>
  <c r="L32" i="13"/>
  <c r="L30" i="13" s="1"/>
  <c r="I367" i="13"/>
  <c r="K367" i="13" s="1"/>
  <c r="N644" i="13"/>
  <c r="N640" i="13" s="1"/>
  <c r="N638" i="13" s="1"/>
  <c r="N636" i="13" s="1"/>
  <c r="L96" i="15"/>
  <c r="N33" i="11"/>
  <c r="N13" i="11" s="1"/>
  <c r="N644" i="11"/>
  <c r="N640" i="11" s="1"/>
  <c r="N638" i="11" s="1"/>
  <c r="N636" i="11" s="1"/>
  <c r="J671" i="11"/>
  <c r="K92" i="12"/>
  <c r="K109" i="12"/>
  <c r="P144" i="12"/>
  <c r="L254" i="12"/>
  <c r="K328" i="12"/>
  <c r="K398" i="12"/>
  <c r="O597" i="12"/>
  <c r="N33" i="13"/>
  <c r="N13" i="13" s="1"/>
  <c r="O537" i="13"/>
  <c r="N34" i="13"/>
  <c r="N14" i="13" s="1"/>
  <c r="K629" i="13"/>
  <c r="K200" i="11"/>
  <c r="K380" i="11"/>
  <c r="O385" i="11"/>
  <c r="K402" i="11"/>
  <c r="K418" i="11"/>
  <c r="K421" i="11"/>
  <c r="K424" i="11"/>
  <c r="K427" i="11"/>
  <c r="K430" i="11"/>
  <c r="K474" i="11"/>
  <c r="K597" i="11"/>
  <c r="O599" i="11"/>
  <c r="K635" i="11"/>
  <c r="N26" i="12"/>
  <c r="N16" i="12" s="1"/>
  <c r="O401" i="12"/>
  <c r="K419" i="12"/>
  <c r="K429" i="12"/>
  <c r="K432" i="12"/>
  <c r="K149" i="13"/>
  <c r="K158" i="13"/>
  <c r="N292" i="13"/>
  <c r="N290" i="13" s="1"/>
  <c r="K341" i="13"/>
  <c r="O347" i="13"/>
  <c r="K428" i="13"/>
  <c r="K435" i="13"/>
  <c r="O566" i="12"/>
  <c r="K628" i="12"/>
  <c r="K117" i="13"/>
  <c r="K219" i="13"/>
  <c r="L254" i="13"/>
  <c r="K306" i="13"/>
  <c r="L333" i="13"/>
  <c r="L331" i="13" s="1"/>
  <c r="O401" i="13"/>
  <c r="K416" i="13"/>
  <c r="K424" i="13"/>
  <c r="K429" i="13"/>
  <c r="K432" i="13"/>
  <c r="K533" i="13"/>
  <c r="O566" i="13"/>
  <c r="O597" i="13"/>
  <c r="K621" i="13"/>
  <c r="N43" i="14"/>
  <c r="P43" i="14" s="1"/>
  <c r="M41" i="15"/>
  <c r="N32" i="15"/>
  <c r="N30" i="15" s="1"/>
  <c r="N31" i="12"/>
  <c r="N29" i="12" s="1"/>
  <c r="K497" i="12"/>
  <c r="J651" i="12"/>
  <c r="N26" i="13"/>
  <c r="N16" i="13" s="1"/>
  <c r="K270" i="13"/>
  <c r="K497" i="13"/>
  <c r="K624" i="13"/>
  <c r="M22" i="14"/>
  <c r="M12" i="14" s="1"/>
  <c r="M55" i="14"/>
  <c r="M53" i="14" s="1"/>
  <c r="N142" i="15"/>
  <c r="N140" i="15" s="1"/>
  <c r="P140" i="15" s="1"/>
  <c r="P144" i="15"/>
  <c r="K345" i="12"/>
  <c r="K350" i="12"/>
  <c r="K368" i="12"/>
  <c r="K421" i="12"/>
  <c r="O533" i="12"/>
  <c r="K614" i="12"/>
  <c r="K635" i="12"/>
  <c r="M118" i="13"/>
  <c r="K132" i="13"/>
  <c r="K189" i="13"/>
  <c r="O318" i="13"/>
  <c r="K377" i="13"/>
  <c r="O380" i="13"/>
  <c r="O383" i="13"/>
  <c r="O439" i="13"/>
  <c r="K481" i="13"/>
  <c r="O533" i="13"/>
  <c r="O31" i="14"/>
  <c r="L11" i="14"/>
  <c r="O11" i="14" s="1"/>
  <c r="N32" i="14"/>
  <c r="N30" i="14" s="1"/>
  <c r="N34" i="14"/>
  <c r="N14" i="14" s="1"/>
  <c r="O537" i="14"/>
  <c r="N55" i="15"/>
  <c r="N53" i="15" s="1"/>
  <c r="K634" i="15"/>
  <c r="K149" i="14"/>
  <c r="K164" i="14"/>
  <c r="M312" i="14"/>
  <c r="P312" i="14" s="1"/>
  <c r="N31" i="14"/>
  <c r="N29" i="14" s="1"/>
  <c r="K149" i="15"/>
  <c r="K304" i="15"/>
  <c r="M337" i="15"/>
  <c r="P337" i="15" s="1"/>
  <c r="K573" i="15"/>
  <c r="K625" i="15"/>
  <c r="K635" i="15"/>
  <c r="J651" i="13"/>
  <c r="M120" i="14"/>
  <c r="L144" i="14"/>
  <c r="P275" i="14"/>
  <c r="L333" i="14"/>
  <c r="O333" i="14" s="1"/>
  <c r="O347" i="14"/>
  <c r="K597" i="14"/>
  <c r="M68" i="15"/>
  <c r="P68" i="15" s="1"/>
  <c r="K164" i="15"/>
  <c r="K289" i="15"/>
  <c r="N331" i="15"/>
  <c r="N329" i="15" s="1"/>
  <c r="I367" i="15"/>
  <c r="K367" i="15" s="1"/>
  <c r="K615" i="15"/>
  <c r="K623" i="15"/>
  <c r="O401" i="14"/>
  <c r="O568" i="14"/>
  <c r="K611" i="14"/>
  <c r="K613" i="14"/>
  <c r="K615" i="14"/>
  <c r="K617" i="14"/>
  <c r="K626" i="14"/>
  <c r="N644" i="14"/>
  <c r="N640" i="14" s="1"/>
  <c r="N638" i="14" s="1"/>
  <c r="N636" i="14" s="1"/>
  <c r="N26" i="15"/>
  <c r="N16" i="15" s="1"/>
  <c r="N22" i="15"/>
  <c r="K132" i="15"/>
  <c r="M312" i="15"/>
  <c r="O337" i="15"/>
  <c r="K349" i="15"/>
  <c r="K372" i="15"/>
  <c r="O537" i="15"/>
  <c r="K630" i="15"/>
  <c r="L98" i="14"/>
  <c r="L96" i="14" s="1"/>
  <c r="L122" i="14"/>
  <c r="O122" i="14" s="1"/>
  <c r="O337" i="14"/>
  <c r="K343" i="14"/>
  <c r="K450" i="14"/>
  <c r="K624" i="14"/>
  <c r="J671" i="14"/>
  <c r="P45" i="15"/>
  <c r="K133" i="15"/>
  <c r="L224" i="15"/>
  <c r="L222" i="15" s="1"/>
  <c r="P275" i="15"/>
  <c r="K370" i="15"/>
  <c r="K396" i="15"/>
  <c r="O535" i="15"/>
  <c r="K613" i="15"/>
  <c r="K631" i="15"/>
  <c r="N644" i="15"/>
  <c r="N640" i="15" s="1"/>
  <c r="N638" i="15" s="1"/>
  <c r="N636" i="15" s="1"/>
  <c r="O25" i="1"/>
  <c r="L15" i="1"/>
  <c r="O15" i="1" s="1"/>
  <c r="N19" i="1"/>
  <c r="L19" i="1"/>
  <c r="O21" i="1"/>
  <c r="P21" i="1"/>
  <c r="M19" i="1"/>
  <c r="M11" i="1"/>
  <c r="P29" i="1"/>
  <c r="M28" i="1"/>
  <c r="P28" i="1" s="1"/>
  <c r="O54" i="1"/>
  <c r="P95" i="2"/>
  <c r="O352" i="2"/>
  <c r="L32" i="2"/>
  <c r="L352" i="1"/>
  <c r="O383" i="2"/>
  <c r="N32" i="2"/>
  <c r="N30" i="2" s="1"/>
  <c r="J416" i="1"/>
  <c r="K416" i="2"/>
  <c r="K668" i="2"/>
  <c r="I668" i="1"/>
  <c r="K668" i="1" s="1"/>
  <c r="K324" i="4"/>
  <c r="I324" i="1"/>
  <c r="O534" i="4"/>
  <c r="L534" i="1"/>
  <c r="O581" i="4"/>
  <c r="L581" i="1"/>
  <c r="O581" i="1" s="1"/>
  <c r="I84" i="1"/>
  <c r="P25" i="1"/>
  <c r="P32" i="1"/>
  <c r="O42" i="1"/>
  <c r="O69" i="1"/>
  <c r="J455" i="1"/>
  <c r="M22" i="2"/>
  <c r="M68" i="2"/>
  <c r="M66" i="2" s="1"/>
  <c r="M221" i="1"/>
  <c r="P221" i="1" s="1"/>
  <c r="P221" i="2"/>
  <c r="L294" i="2"/>
  <c r="L295" i="1"/>
  <c r="M29" i="3"/>
  <c r="P31" i="3"/>
  <c r="M11" i="3"/>
  <c r="P272" i="3"/>
  <c r="M271" i="3"/>
  <c r="M272" i="1"/>
  <c r="P272" i="1" s="1"/>
  <c r="K649" i="3"/>
  <c r="I649" i="1"/>
  <c r="N252" i="4"/>
  <c r="N254" i="1"/>
  <c r="O330" i="5"/>
  <c r="L330" i="1"/>
  <c r="O330" i="1" s="1"/>
  <c r="M14" i="1"/>
  <c r="P14" i="1" s="1"/>
  <c r="P31" i="1"/>
  <c r="P42" i="1"/>
  <c r="I81" i="1"/>
  <c r="I83" i="1"/>
  <c r="I85" i="1"/>
  <c r="I87" i="1"/>
  <c r="I215" i="1"/>
  <c r="K215" i="1" s="1"/>
  <c r="L349" i="1"/>
  <c r="J421" i="1"/>
  <c r="J429" i="1"/>
  <c r="L98" i="2"/>
  <c r="J130" i="1"/>
  <c r="M142" i="2"/>
  <c r="M140" i="2" s="1"/>
  <c r="L254" i="2"/>
  <c r="N292" i="2"/>
  <c r="O311" i="2"/>
  <c r="L311" i="1"/>
  <c r="O311" i="1" s="1"/>
  <c r="K342" i="2"/>
  <c r="I342" i="1"/>
  <c r="K342" i="1" s="1"/>
  <c r="K349" i="2"/>
  <c r="I349" i="1"/>
  <c r="O354" i="2"/>
  <c r="L34" i="2"/>
  <c r="L354" i="1"/>
  <c r="K420" i="2"/>
  <c r="J428" i="1"/>
  <c r="K428" i="2"/>
  <c r="K449" i="2"/>
  <c r="I449" i="1"/>
  <c r="J677" i="1"/>
  <c r="J671" i="2"/>
  <c r="N273" i="3"/>
  <c r="P273" i="3" s="1"/>
  <c r="P275" i="3"/>
  <c r="O337" i="3"/>
  <c r="L337" i="1"/>
  <c r="K344" i="3"/>
  <c r="I344" i="1"/>
  <c r="K344" i="1" s="1"/>
  <c r="K350" i="3"/>
  <c r="I350" i="1"/>
  <c r="J392" i="1"/>
  <c r="K397" i="3"/>
  <c r="I397" i="1"/>
  <c r="N405" i="1"/>
  <c r="K466" i="3"/>
  <c r="I466" i="1"/>
  <c r="K472" i="3"/>
  <c r="I472" i="1"/>
  <c r="K472" i="1" s="1"/>
  <c r="K478" i="3"/>
  <c r="I478" i="1"/>
  <c r="K478" i="1" s="1"/>
  <c r="K484" i="3"/>
  <c r="I484" i="1"/>
  <c r="K484" i="1" s="1"/>
  <c r="K490" i="3"/>
  <c r="I490" i="1"/>
  <c r="K490" i="1" s="1"/>
  <c r="K496" i="3"/>
  <c r="I496" i="1"/>
  <c r="K496" i="1" s="1"/>
  <c r="K502" i="3"/>
  <c r="I502" i="1"/>
  <c r="K502" i="1" s="1"/>
  <c r="K508" i="3"/>
  <c r="I508" i="1"/>
  <c r="K508" i="1" s="1"/>
  <c r="K514" i="3"/>
  <c r="I514" i="1"/>
  <c r="K514" i="1" s="1"/>
  <c r="O536" i="3"/>
  <c r="L536" i="1"/>
  <c r="O536" i="1" s="1"/>
  <c r="M29" i="4"/>
  <c r="P31" i="4"/>
  <c r="M11" i="4"/>
  <c r="M118" i="4"/>
  <c r="P118" i="4" s="1"/>
  <c r="P119" i="4"/>
  <c r="N251" i="1"/>
  <c r="O565" i="4"/>
  <c r="L565" i="1"/>
  <c r="O565" i="1" s="1"/>
  <c r="K573" i="4"/>
  <c r="I573" i="1"/>
  <c r="J594" i="1"/>
  <c r="J596" i="1"/>
  <c r="N644" i="4"/>
  <c r="N640" i="4" s="1"/>
  <c r="N638" i="4" s="1"/>
  <c r="N636" i="4" s="1"/>
  <c r="N649" i="1"/>
  <c r="O649" i="1" s="1"/>
  <c r="M19" i="5"/>
  <c r="P21" i="5"/>
  <c r="M11" i="5"/>
  <c r="N26" i="5"/>
  <c r="N16" i="5" s="1"/>
  <c r="N43" i="5"/>
  <c r="O141" i="5"/>
  <c r="L141" i="1"/>
  <c r="O141" i="1" s="1"/>
  <c r="N222" i="5"/>
  <c r="N220" i="5" s="1"/>
  <c r="N311" i="1"/>
  <c r="L314" i="5"/>
  <c r="L315" i="1"/>
  <c r="L23" i="6"/>
  <c r="L70" i="6"/>
  <c r="P122" i="6"/>
  <c r="M120" i="6"/>
  <c r="P120" i="6" s="1"/>
  <c r="K340" i="2"/>
  <c r="I340" i="1"/>
  <c r="P314" i="2"/>
  <c r="M14" i="3"/>
  <c r="P14" i="3" s="1"/>
  <c r="P24" i="3"/>
  <c r="M22" i="3"/>
  <c r="M55" i="3"/>
  <c r="P57" i="3"/>
  <c r="N68" i="3"/>
  <c r="P68" i="3" s="1"/>
  <c r="K424" i="3"/>
  <c r="J424" i="1"/>
  <c r="O597" i="4"/>
  <c r="N597" i="1"/>
  <c r="M57" i="1"/>
  <c r="M70" i="1"/>
  <c r="L123" i="1"/>
  <c r="M144" i="1"/>
  <c r="I219" i="1"/>
  <c r="J309" i="1"/>
  <c r="K309" i="1" s="1"/>
  <c r="N314" i="1"/>
  <c r="L335" i="1"/>
  <c r="I343" i="1"/>
  <c r="L648" i="1"/>
  <c r="L650" i="1"/>
  <c r="L668" i="1"/>
  <c r="O668" i="1" s="1"/>
  <c r="L19" i="2"/>
  <c r="O21" i="2"/>
  <c r="L224" i="2"/>
  <c r="L225" i="1"/>
  <c r="P273" i="2"/>
  <c r="P311" i="2"/>
  <c r="M311" i="1"/>
  <c r="P311" i="1" s="1"/>
  <c r="K402" i="2"/>
  <c r="I402" i="1"/>
  <c r="N455" i="1"/>
  <c r="K464" i="2"/>
  <c r="I464" i="1"/>
  <c r="K470" i="2"/>
  <c r="I470" i="1"/>
  <c r="K470" i="1" s="1"/>
  <c r="K476" i="2"/>
  <c r="I476" i="1"/>
  <c r="K476" i="1" s="1"/>
  <c r="K482" i="2"/>
  <c r="I482" i="1"/>
  <c r="K488" i="2"/>
  <c r="I488" i="1"/>
  <c r="K488" i="1" s="1"/>
  <c r="K494" i="2"/>
  <c r="I494" i="1"/>
  <c r="K494" i="1" s="1"/>
  <c r="K500" i="2"/>
  <c r="I500" i="1"/>
  <c r="K500" i="1" s="1"/>
  <c r="K506" i="2"/>
  <c r="I506" i="1"/>
  <c r="K506" i="1" s="1"/>
  <c r="K512" i="2"/>
  <c r="I512" i="1"/>
  <c r="K512" i="1" s="1"/>
  <c r="J549" i="1"/>
  <c r="N551" i="1"/>
  <c r="N553" i="1"/>
  <c r="N555" i="1"/>
  <c r="K560" i="2"/>
  <c r="I560" i="1"/>
  <c r="K560" i="1" s="1"/>
  <c r="O567" i="2"/>
  <c r="L567" i="1"/>
  <c r="O567" i="1" s="1"/>
  <c r="N33" i="3"/>
  <c r="N13" i="3" s="1"/>
  <c r="N353" i="1"/>
  <c r="K450" i="4"/>
  <c r="O583" i="4"/>
  <c r="L583" i="1"/>
  <c r="O583" i="1" s="1"/>
  <c r="N19" i="5"/>
  <c r="O42" i="5"/>
  <c r="K238" i="5"/>
  <c r="I238" i="1"/>
  <c r="K238" i="1" s="1"/>
  <c r="K304" i="5"/>
  <c r="I304" i="1"/>
  <c r="K346" i="2"/>
  <c r="I346" i="1"/>
  <c r="K346" i="1" s="1"/>
  <c r="O661" i="2"/>
  <c r="L661" i="1"/>
  <c r="O661" i="1" s="1"/>
  <c r="M331" i="3"/>
  <c r="P333" i="3"/>
  <c r="N312" i="4"/>
  <c r="N310" i="4" s="1"/>
  <c r="N318" i="1"/>
  <c r="P291" i="5"/>
  <c r="M290" i="5"/>
  <c r="P290" i="5" s="1"/>
  <c r="K564" i="5"/>
  <c r="I564" i="1"/>
  <c r="P119" i="6"/>
  <c r="L439" i="1"/>
  <c r="I450" i="1"/>
  <c r="J597" i="1"/>
  <c r="P19" i="2"/>
  <c r="P25" i="2"/>
  <c r="M15" i="2"/>
  <c r="P15" i="2" s="1"/>
  <c r="N142" i="2"/>
  <c r="O298" i="2"/>
  <c r="N298" i="1"/>
  <c r="K328" i="2"/>
  <c r="J328" i="1"/>
  <c r="K650" i="2"/>
  <c r="I650" i="1"/>
  <c r="K650" i="1" s="1"/>
  <c r="O61" i="3"/>
  <c r="L26" i="3"/>
  <c r="O251" i="3"/>
  <c r="P254" i="3"/>
  <c r="M252" i="3"/>
  <c r="M254" i="1"/>
  <c r="P294" i="3"/>
  <c r="N292" i="3"/>
  <c r="O61" i="4"/>
  <c r="L26" i="4"/>
  <c r="K267" i="4"/>
  <c r="I267" i="1"/>
  <c r="O337" i="4"/>
  <c r="M337" i="4"/>
  <c r="O353" i="4"/>
  <c r="L33" i="4"/>
  <c r="O33" i="4" s="1"/>
  <c r="L23" i="5"/>
  <c r="L70" i="5"/>
  <c r="K628" i="5"/>
  <c r="N644" i="5"/>
  <c r="N640" i="5" s="1"/>
  <c r="N638" i="5" s="1"/>
  <c r="N636" i="5" s="1"/>
  <c r="N648" i="1"/>
  <c r="K651" i="5"/>
  <c r="I651" i="1"/>
  <c r="K651" i="1" s="1"/>
  <c r="I117" i="1"/>
  <c r="L126" i="1"/>
  <c r="O126" i="1" s="1"/>
  <c r="I185" i="1"/>
  <c r="L251" i="1"/>
  <c r="O251" i="1" s="1"/>
  <c r="I264" i="1"/>
  <c r="N294" i="1"/>
  <c r="M333" i="1"/>
  <c r="I341" i="1"/>
  <c r="N383" i="1"/>
  <c r="L405" i="1"/>
  <c r="O405" i="1" s="1"/>
  <c r="L437" i="1"/>
  <c r="L564" i="1"/>
  <c r="N567" i="1"/>
  <c r="L651" i="1"/>
  <c r="O651" i="1" s="1"/>
  <c r="P29" i="2"/>
  <c r="L33" i="2"/>
  <c r="O33" i="2" s="1"/>
  <c r="P298" i="2"/>
  <c r="M318" i="2"/>
  <c r="M312" i="2" s="1"/>
  <c r="M310" i="2" s="1"/>
  <c r="K432" i="2"/>
  <c r="N15" i="3"/>
  <c r="L33" i="3"/>
  <c r="O33" i="3" s="1"/>
  <c r="O42" i="3"/>
  <c r="L70" i="3"/>
  <c r="L23" i="3"/>
  <c r="L224" i="3"/>
  <c r="L640" i="3"/>
  <c r="J671" i="3"/>
  <c r="J674" i="1"/>
  <c r="O19" i="4"/>
  <c r="P24" i="4"/>
  <c r="L45" i="4"/>
  <c r="L23" i="4"/>
  <c r="P254" i="4"/>
  <c r="P291" i="4"/>
  <c r="M291" i="1"/>
  <c r="P291" i="1" s="1"/>
  <c r="L24" i="5"/>
  <c r="L96" i="5"/>
  <c r="L94" i="5" s="1"/>
  <c r="O351" i="5"/>
  <c r="L31" i="5"/>
  <c r="O354" i="5"/>
  <c r="L34" i="5"/>
  <c r="P337" i="2"/>
  <c r="M331" i="2"/>
  <c r="P45" i="3"/>
  <c r="N43" i="3"/>
  <c r="O534" i="3"/>
  <c r="L31" i="3"/>
  <c r="P67" i="4"/>
  <c r="N33" i="4"/>
  <c r="N13" i="4" s="1"/>
  <c r="O19" i="5"/>
  <c r="P42" i="5"/>
  <c r="N22" i="5"/>
  <c r="O102" i="5"/>
  <c r="M102" i="5"/>
  <c r="M96" i="5" s="1"/>
  <c r="L26" i="5"/>
  <c r="P224" i="5"/>
  <c r="M222" i="5"/>
  <c r="M220" i="5" s="1"/>
  <c r="N31" i="5"/>
  <c r="N29" i="5" s="1"/>
  <c r="N34" i="5"/>
  <c r="N14" i="5" s="1"/>
  <c r="O385" i="5"/>
  <c r="O536" i="5"/>
  <c r="L33" i="5"/>
  <c r="O33" i="5" s="1"/>
  <c r="P15" i="7"/>
  <c r="M9" i="7"/>
  <c r="O54" i="14"/>
  <c r="L23" i="2"/>
  <c r="M120" i="2"/>
  <c r="M271" i="2"/>
  <c r="P314" i="3"/>
  <c r="M312" i="3"/>
  <c r="P224" i="4"/>
  <c r="M53" i="5"/>
  <c r="P119" i="5"/>
  <c r="M142" i="5"/>
  <c r="P29" i="7"/>
  <c r="M28" i="7"/>
  <c r="P28" i="7" s="1"/>
  <c r="L26" i="2"/>
  <c r="O42" i="2"/>
  <c r="N53" i="2"/>
  <c r="M55" i="2"/>
  <c r="P55" i="2" s="1"/>
  <c r="P57" i="2"/>
  <c r="O119" i="2"/>
  <c r="P141" i="2"/>
  <c r="M292" i="2"/>
  <c r="O337" i="2"/>
  <c r="N31" i="2"/>
  <c r="O404" i="2"/>
  <c r="K466" i="2"/>
  <c r="K564" i="2"/>
  <c r="K663" i="2"/>
  <c r="O665" i="2"/>
  <c r="P23" i="3"/>
  <c r="M13" i="3"/>
  <c r="P13" i="3" s="1"/>
  <c r="L24" i="3"/>
  <c r="P70" i="3"/>
  <c r="K80" i="3"/>
  <c r="K86" i="3"/>
  <c r="O566" i="3"/>
  <c r="L32" i="3"/>
  <c r="N644" i="3"/>
  <c r="N640" i="3" s="1"/>
  <c r="N638" i="3" s="1"/>
  <c r="N636" i="3" s="1"/>
  <c r="M19" i="4"/>
  <c r="P21" i="4"/>
  <c r="N15" i="4"/>
  <c r="N19" i="4"/>
  <c r="M142" i="4"/>
  <c r="N222" i="4"/>
  <c r="O95" i="5"/>
  <c r="N142" i="6"/>
  <c r="L275" i="6"/>
  <c r="L24" i="6"/>
  <c r="O279" i="3"/>
  <c r="O311" i="3"/>
  <c r="O25" i="4"/>
  <c r="L15" i="4"/>
  <c r="O15" i="4" s="1"/>
  <c r="P42" i="4"/>
  <c r="M41" i="4"/>
  <c r="N26" i="4"/>
  <c r="N16" i="4" s="1"/>
  <c r="M22" i="4"/>
  <c r="O102" i="4"/>
  <c r="M102" i="4"/>
  <c r="P221" i="4"/>
  <c r="M220" i="4"/>
  <c r="O298" i="4"/>
  <c r="O330" i="4"/>
  <c r="O349" i="4"/>
  <c r="O401" i="4"/>
  <c r="L640" i="4"/>
  <c r="P67" i="5"/>
  <c r="O337" i="5"/>
  <c r="M337" i="5"/>
  <c r="K341" i="5"/>
  <c r="O347" i="5"/>
  <c r="K611" i="5"/>
  <c r="K613" i="5"/>
  <c r="K615" i="5"/>
  <c r="K617" i="5"/>
  <c r="K173" i="6"/>
  <c r="N43" i="8"/>
  <c r="P43" i="8" s="1"/>
  <c r="N22" i="8"/>
  <c r="P33" i="11"/>
  <c r="M13" i="11"/>
  <c r="P13" i="11" s="1"/>
  <c r="O54" i="12"/>
  <c r="K133" i="3"/>
  <c r="K465" i="3"/>
  <c r="O568" i="3"/>
  <c r="N55" i="4"/>
  <c r="N53" i="4" s="1"/>
  <c r="O228" i="4"/>
  <c r="K465" i="4"/>
  <c r="O566" i="4"/>
  <c r="O54" i="5"/>
  <c r="M22" i="5"/>
  <c r="P221" i="5"/>
  <c r="N33" i="5"/>
  <c r="N13" i="5" s="1"/>
  <c r="K465" i="5"/>
  <c r="O568" i="5"/>
  <c r="O54" i="6"/>
  <c r="P57" i="6"/>
  <c r="M22" i="6"/>
  <c r="M55" i="6"/>
  <c r="P98" i="6"/>
  <c r="M96" i="6"/>
  <c r="P144" i="6"/>
  <c r="K396" i="6"/>
  <c r="O535" i="6"/>
  <c r="M15" i="3"/>
  <c r="P15" i="3" s="1"/>
  <c r="K112" i="3"/>
  <c r="K117" i="3"/>
  <c r="K345" i="3"/>
  <c r="O54" i="4"/>
  <c r="L24" i="4"/>
  <c r="O95" i="4"/>
  <c r="O141" i="4"/>
  <c r="K345" i="4"/>
  <c r="O351" i="4"/>
  <c r="L31" i="4"/>
  <c r="L11" i="4" s="1"/>
  <c r="O354" i="4"/>
  <c r="L34" i="4"/>
  <c r="O25" i="5"/>
  <c r="L15" i="5"/>
  <c r="O15" i="5" s="1"/>
  <c r="M28" i="5"/>
  <c r="P28" i="5" s="1"/>
  <c r="K343" i="5"/>
  <c r="O401" i="5"/>
  <c r="M26" i="6"/>
  <c r="M43" i="6"/>
  <c r="P49" i="6"/>
  <c r="P9" i="9"/>
  <c r="P24" i="6"/>
  <c r="M14" i="6"/>
  <c r="P14" i="6" s="1"/>
  <c r="P31" i="6"/>
  <c r="M29" i="6"/>
  <c r="N22" i="6"/>
  <c r="N55" i="6"/>
  <c r="N53" i="6" s="1"/>
  <c r="O385" i="6"/>
  <c r="L34" i="6"/>
  <c r="O45" i="7"/>
  <c r="L43" i="7"/>
  <c r="P21" i="8"/>
  <c r="M11" i="8"/>
  <c r="M19" i="8"/>
  <c r="P29" i="9"/>
  <c r="M28" i="9"/>
  <c r="P28" i="9" s="1"/>
  <c r="O385" i="9"/>
  <c r="L34" i="9"/>
  <c r="P32" i="6"/>
  <c r="M30" i="6"/>
  <c r="P30" i="6" s="1"/>
  <c r="M329" i="6"/>
  <c r="N34" i="6"/>
  <c r="N14" i="6" s="1"/>
  <c r="L32" i="6"/>
  <c r="O383" i="6"/>
  <c r="O439" i="6"/>
  <c r="K625" i="6"/>
  <c r="K623" i="6"/>
  <c r="K621" i="6"/>
  <c r="K626" i="6"/>
  <c r="K624" i="6"/>
  <c r="K622" i="6"/>
  <c r="K620" i="6"/>
  <c r="L640" i="6"/>
  <c r="O665" i="6"/>
  <c r="P45" i="7"/>
  <c r="M43" i="7"/>
  <c r="O566" i="7"/>
  <c r="L32" i="7"/>
  <c r="L640" i="7"/>
  <c r="O648" i="7"/>
  <c r="O251" i="9"/>
  <c r="O383" i="9"/>
  <c r="L32" i="9"/>
  <c r="N34" i="10"/>
  <c r="N14" i="10" s="1"/>
  <c r="O568" i="10"/>
  <c r="K626" i="5"/>
  <c r="K624" i="5"/>
  <c r="P11" i="6"/>
  <c r="M9" i="6"/>
  <c r="O95" i="6"/>
  <c r="O126" i="6"/>
  <c r="O21" i="7"/>
  <c r="L19" i="7"/>
  <c r="P23" i="7"/>
  <c r="M13" i="7"/>
  <c r="P13" i="7" s="1"/>
  <c r="O42" i="7"/>
  <c r="L98" i="7"/>
  <c r="L23" i="7"/>
  <c r="O337" i="7"/>
  <c r="M337" i="7"/>
  <c r="M331" i="7" s="1"/>
  <c r="L24" i="8"/>
  <c r="P45" i="9"/>
  <c r="M43" i="9"/>
  <c r="M22" i="9"/>
  <c r="L23" i="9"/>
  <c r="L57" i="9"/>
  <c r="P275" i="9"/>
  <c r="M273" i="9"/>
  <c r="P273" i="9" s="1"/>
  <c r="P25" i="6"/>
  <c r="M15" i="6"/>
  <c r="P15" i="6" s="1"/>
  <c r="O45" i="6"/>
  <c r="L26" i="6"/>
  <c r="O61" i="6"/>
  <c r="P333" i="6"/>
  <c r="K398" i="6"/>
  <c r="O435" i="6"/>
  <c r="L33" i="6"/>
  <c r="O33" i="6" s="1"/>
  <c r="O458" i="6"/>
  <c r="O537" i="6"/>
  <c r="K635" i="6"/>
  <c r="P144" i="7"/>
  <c r="M142" i="7"/>
  <c r="M140" i="7" s="1"/>
  <c r="O228" i="7"/>
  <c r="O353" i="7"/>
  <c r="L33" i="7"/>
  <c r="O33" i="7" s="1"/>
  <c r="I367" i="7"/>
  <c r="K367" i="7" s="1"/>
  <c r="O403" i="7"/>
  <c r="L31" i="7"/>
  <c r="N33" i="7"/>
  <c r="N13" i="7" s="1"/>
  <c r="O25" i="8"/>
  <c r="L15" i="8"/>
  <c r="O15" i="8" s="1"/>
  <c r="L19" i="8"/>
  <c r="P45" i="8"/>
  <c r="L15" i="6"/>
  <c r="O15" i="6" s="1"/>
  <c r="M14" i="7"/>
  <c r="P14" i="7" s="1"/>
  <c r="L26" i="7"/>
  <c r="L292" i="7"/>
  <c r="O298" i="7"/>
  <c r="K614" i="7"/>
  <c r="N19" i="8"/>
  <c r="P42" i="8"/>
  <c r="M41" i="8"/>
  <c r="O126" i="8"/>
  <c r="O311" i="8"/>
  <c r="L640" i="8"/>
  <c r="O665" i="8"/>
  <c r="P23" i="9"/>
  <c r="M13" i="9"/>
  <c r="P13" i="9" s="1"/>
  <c r="O584" i="9"/>
  <c r="N32" i="10"/>
  <c r="N30" i="10" s="1"/>
  <c r="O566" i="10"/>
  <c r="P221" i="7"/>
  <c r="M220" i="7"/>
  <c r="P224" i="7"/>
  <c r="O349" i="7"/>
  <c r="O54" i="8"/>
  <c r="P144" i="8"/>
  <c r="L252" i="8"/>
  <c r="O252" i="8" s="1"/>
  <c r="O272" i="9"/>
  <c r="K625" i="9"/>
  <c r="K623" i="9"/>
  <c r="K621" i="9"/>
  <c r="K626" i="9"/>
  <c r="K624" i="9"/>
  <c r="K622" i="9"/>
  <c r="K620" i="9"/>
  <c r="O457" i="10"/>
  <c r="L32" i="10"/>
  <c r="O141" i="7"/>
  <c r="N220" i="7"/>
  <c r="P291" i="7"/>
  <c r="O347" i="7"/>
  <c r="K481" i="7"/>
  <c r="L26" i="8"/>
  <c r="L32" i="8"/>
  <c r="M53" i="8"/>
  <c r="M22" i="8"/>
  <c r="P57" i="8"/>
  <c r="L70" i="8"/>
  <c r="M96" i="8"/>
  <c r="P96" i="8" s="1"/>
  <c r="P119" i="8"/>
  <c r="M118" i="8"/>
  <c r="P122" i="8"/>
  <c r="K372" i="8"/>
  <c r="O437" i="8"/>
  <c r="K625" i="8"/>
  <c r="K623" i="8"/>
  <c r="K621" i="8"/>
  <c r="K626" i="8"/>
  <c r="K624" i="8"/>
  <c r="K622" i="8"/>
  <c r="K620" i="8"/>
  <c r="K633" i="8"/>
  <c r="O21" i="9"/>
  <c r="L19" i="9"/>
  <c r="P272" i="9"/>
  <c r="L294" i="9"/>
  <c r="K371" i="10"/>
  <c r="I367" i="10"/>
  <c r="K367" i="10" s="1"/>
  <c r="L57" i="11"/>
  <c r="L24" i="11"/>
  <c r="P222" i="7"/>
  <c r="O330" i="7"/>
  <c r="K345" i="7"/>
  <c r="K450" i="7"/>
  <c r="K619" i="7"/>
  <c r="K617" i="7"/>
  <c r="K615" i="7"/>
  <c r="K613" i="7"/>
  <c r="K611" i="7"/>
  <c r="O95" i="8"/>
  <c r="O533" i="8"/>
  <c r="O552" i="8"/>
  <c r="L31" i="8"/>
  <c r="L11" i="8" s="1"/>
  <c r="K189" i="9"/>
  <c r="K219" i="9"/>
  <c r="O337" i="10"/>
  <c r="M337" i="10"/>
  <c r="P337" i="10" s="1"/>
  <c r="P32" i="11"/>
  <c r="M30" i="11"/>
  <c r="P30" i="11" s="1"/>
  <c r="O311" i="9"/>
  <c r="M28" i="10"/>
  <c r="P28" i="10" s="1"/>
  <c r="P29" i="10"/>
  <c r="N26" i="10"/>
  <c r="N16" i="10" s="1"/>
  <c r="O119" i="10"/>
  <c r="P272" i="8"/>
  <c r="L24" i="9"/>
  <c r="N32" i="9"/>
  <c r="N30" i="9" s="1"/>
  <c r="N34" i="9"/>
  <c r="N14" i="9" s="1"/>
  <c r="L33" i="9"/>
  <c r="O33" i="9" s="1"/>
  <c r="P23" i="10"/>
  <c r="M13" i="10"/>
  <c r="P13" i="10" s="1"/>
  <c r="P144" i="10"/>
  <c r="M142" i="10"/>
  <c r="M140" i="10" s="1"/>
  <c r="O456" i="11"/>
  <c r="L31" i="11"/>
  <c r="O459" i="11"/>
  <c r="L34" i="11"/>
  <c r="O535" i="8"/>
  <c r="K629" i="8"/>
  <c r="K635" i="8"/>
  <c r="O49" i="9"/>
  <c r="L26" i="9"/>
  <c r="K110" i="9"/>
  <c r="K235" i="9"/>
  <c r="M252" i="9"/>
  <c r="O352" i="9"/>
  <c r="O354" i="9"/>
  <c r="K372" i="9"/>
  <c r="K396" i="9"/>
  <c r="O435" i="9"/>
  <c r="O580" i="9"/>
  <c r="O21" i="10"/>
  <c r="L19" i="10"/>
  <c r="N68" i="10"/>
  <c r="N66" i="10" s="1"/>
  <c r="N22" i="10"/>
  <c r="L24" i="10"/>
  <c r="L122" i="10"/>
  <c r="N142" i="10"/>
  <c r="N140" i="10" s="1"/>
  <c r="K398" i="8"/>
  <c r="O439" i="8"/>
  <c r="N22" i="9"/>
  <c r="K149" i="9"/>
  <c r="L31" i="9"/>
  <c r="L11" i="9" s="1"/>
  <c r="O456" i="9"/>
  <c r="O535" i="9"/>
  <c r="K629" i="9"/>
  <c r="K635" i="9"/>
  <c r="L640" i="9"/>
  <c r="P70" i="11"/>
  <c r="M68" i="11"/>
  <c r="P68" i="11" s="1"/>
  <c r="L275" i="11"/>
  <c r="L23" i="11"/>
  <c r="O353" i="12"/>
  <c r="L33" i="12"/>
  <c r="O33" i="12" s="1"/>
  <c r="N644" i="12"/>
  <c r="N640" i="12" s="1"/>
  <c r="N638" i="12" s="1"/>
  <c r="N636" i="12" s="1"/>
  <c r="K612" i="8"/>
  <c r="K614" i="8"/>
  <c r="K616" i="8"/>
  <c r="K618" i="8"/>
  <c r="K612" i="9"/>
  <c r="K614" i="9"/>
  <c r="K616" i="9"/>
  <c r="K618" i="9"/>
  <c r="P141" i="10"/>
  <c r="P333" i="10"/>
  <c r="L33" i="10"/>
  <c r="O33" i="10" s="1"/>
  <c r="O384" i="10"/>
  <c r="O95" i="11"/>
  <c r="M310" i="11"/>
  <c r="P310" i="11" s="1"/>
  <c r="P312" i="11"/>
  <c r="P31" i="12"/>
  <c r="M29" i="12"/>
  <c r="M11" i="12"/>
  <c r="L45" i="12"/>
  <c r="L23" i="12"/>
  <c r="O459" i="12"/>
  <c r="L34" i="12"/>
  <c r="M26" i="9"/>
  <c r="M49" i="10"/>
  <c r="L26" i="10"/>
  <c r="K164" i="10"/>
  <c r="P330" i="10"/>
  <c r="K533" i="10"/>
  <c r="O25" i="11"/>
  <c r="L15" i="11"/>
  <c r="O15" i="11" s="1"/>
  <c r="O126" i="11"/>
  <c r="N32" i="11"/>
  <c r="N30" i="11" s="1"/>
  <c r="O537" i="11"/>
  <c r="O597" i="11"/>
  <c r="K618" i="11"/>
  <c r="K631" i="11"/>
  <c r="P330" i="12"/>
  <c r="M329" i="12"/>
  <c r="O457" i="12"/>
  <c r="L32" i="12"/>
  <c r="K625" i="12"/>
  <c r="K623" i="12"/>
  <c r="K621" i="12"/>
  <c r="K620" i="12"/>
  <c r="K622" i="12"/>
  <c r="K626" i="12"/>
  <c r="K624" i="12"/>
  <c r="N644" i="10"/>
  <c r="N640" i="10" s="1"/>
  <c r="N638" i="10" s="1"/>
  <c r="N636" i="10" s="1"/>
  <c r="N19" i="11"/>
  <c r="P25" i="11"/>
  <c r="M15" i="11"/>
  <c r="M28" i="11"/>
  <c r="P28" i="11" s="1"/>
  <c r="P57" i="11"/>
  <c r="M22" i="11"/>
  <c r="M55" i="11"/>
  <c r="P144" i="11"/>
  <c r="N22" i="11"/>
  <c r="N142" i="11"/>
  <c r="N140" i="11" s="1"/>
  <c r="O311" i="11"/>
  <c r="L24" i="12"/>
  <c r="L70" i="12"/>
  <c r="M220" i="13"/>
  <c r="P221" i="13"/>
  <c r="K611" i="8"/>
  <c r="K613" i="8"/>
  <c r="K615" i="8"/>
  <c r="K617" i="8"/>
  <c r="K611" i="9"/>
  <c r="K613" i="9"/>
  <c r="K615" i="9"/>
  <c r="K617" i="9"/>
  <c r="M11" i="10"/>
  <c r="L23" i="10"/>
  <c r="L31" i="10"/>
  <c r="L11" i="10" s="1"/>
  <c r="O49" i="10"/>
  <c r="M120" i="10"/>
  <c r="P120" i="10" s="1"/>
  <c r="K397" i="10"/>
  <c r="K618" i="10"/>
  <c r="K616" i="10"/>
  <c r="K614" i="10"/>
  <c r="K612" i="10"/>
  <c r="K619" i="10"/>
  <c r="K617" i="10"/>
  <c r="K615" i="10"/>
  <c r="K613" i="10"/>
  <c r="K611" i="10"/>
  <c r="M19" i="11"/>
  <c r="O384" i="11"/>
  <c r="L33" i="11"/>
  <c r="O33" i="11" s="1"/>
  <c r="K396" i="11"/>
  <c r="K621" i="10"/>
  <c r="K623" i="10"/>
  <c r="K625" i="10"/>
  <c r="L640" i="10"/>
  <c r="K189" i="11"/>
  <c r="K416" i="11"/>
  <c r="K422" i="11"/>
  <c r="K428" i="11"/>
  <c r="O533" i="11"/>
  <c r="O601" i="11"/>
  <c r="O49" i="12"/>
  <c r="M49" i="12"/>
  <c r="M43" i="12" s="1"/>
  <c r="L26" i="12"/>
  <c r="N22" i="12"/>
  <c r="N55" i="12"/>
  <c r="O141" i="12"/>
  <c r="K200" i="12"/>
  <c r="P221" i="12"/>
  <c r="L31" i="12"/>
  <c r="L11" i="12" s="1"/>
  <c r="O351" i="12"/>
  <c r="K369" i="12"/>
  <c r="I367" i="12"/>
  <c r="K367" i="12" s="1"/>
  <c r="O537" i="12"/>
  <c r="M28" i="13"/>
  <c r="P28" i="13" s="1"/>
  <c r="P29" i="13"/>
  <c r="K173" i="11"/>
  <c r="K235" i="11"/>
  <c r="O439" i="11"/>
  <c r="O457" i="11"/>
  <c r="O21" i="12"/>
  <c r="L19" i="12"/>
  <c r="P67" i="12"/>
  <c r="N34" i="12"/>
  <c r="N14" i="12" s="1"/>
  <c r="O354" i="12"/>
  <c r="M13" i="13"/>
  <c r="P13" i="13" s="1"/>
  <c r="O25" i="13"/>
  <c r="L15" i="13"/>
  <c r="O15" i="13" s="1"/>
  <c r="L19" i="13"/>
  <c r="M290" i="13"/>
  <c r="P291" i="13"/>
  <c r="P45" i="12"/>
  <c r="O95" i="12"/>
  <c r="O102" i="12"/>
  <c r="M102" i="12"/>
  <c r="M310" i="12"/>
  <c r="P310" i="12" s="1"/>
  <c r="P311" i="12"/>
  <c r="N33" i="12"/>
  <c r="N13" i="12" s="1"/>
  <c r="K620" i="10"/>
  <c r="K622" i="10"/>
  <c r="K624" i="10"/>
  <c r="L26" i="11"/>
  <c r="M96" i="11"/>
  <c r="P96" i="11" s="1"/>
  <c r="P272" i="11"/>
  <c r="P337" i="11"/>
  <c r="K398" i="11"/>
  <c r="O435" i="11"/>
  <c r="O455" i="11"/>
  <c r="K633" i="11"/>
  <c r="P24" i="12"/>
  <c r="M14" i="12"/>
  <c r="P14" i="12" s="1"/>
  <c r="M53" i="12"/>
  <c r="P119" i="12"/>
  <c r="M142" i="12"/>
  <c r="O148" i="12"/>
  <c r="P314" i="12"/>
  <c r="N331" i="12"/>
  <c r="P333" i="12"/>
  <c r="L23" i="13"/>
  <c r="L45" i="13"/>
  <c r="P144" i="13"/>
  <c r="M22" i="13"/>
  <c r="M142" i="13"/>
  <c r="O228" i="12"/>
  <c r="K533" i="12"/>
  <c r="K630" i="12"/>
  <c r="L640" i="12"/>
  <c r="O21" i="13"/>
  <c r="P95" i="13"/>
  <c r="M94" i="13"/>
  <c r="P94" i="13" s="1"/>
  <c r="N96" i="13"/>
  <c r="N22" i="13"/>
  <c r="O353" i="14"/>
  <c r="L33" i="14"/>
  <c r="O33" i="14" s="1"/>
  <c r="O382" i="13"/>
  <c r="L31" i="13"/>
  <c r="L11" i="13" s="1"/>
  <c r="K612" i="11"/>
  <c r="K614" i="11"/>
  <c r="K616" i="11"/>
  <c r="K620" i="11"/>
  <c r="K622" i="11"/>
  <c r="K624" i="11"/>
  <c r="O648" i="12"/>
  <c r="P23" i="13"/>
  <c r="N222" i="13"/>
  <c r="O337" i="13"/>
  <c r="M337" i="13"/>
  <c r="M13" i="12"/>
  <c r="P13" i="12" s="1"/>
  <c r="K435" i="12"/>
  <c r="K573" i="12"/>
  <c r="K619" i="12"/>
  <c r="K617" i="12"/>
  <c r="K615" i="12"/>
  <c r="K613" i="12"/>
  <c r="K611" i="12"/>
  <c r="L24" i="13"/>
  <c r="O536" i="13"/>
  <c r="L33" i="13"/>
  <c r="O33" i="13" s="1"/>
  <c r="L24" i="14"/>
  <c r="L70" i="14"/>
  <c r="K397" i="12"/>
  <c r="K634" i="12"/>
  <c r="L26" i="13"/>
  <c r="O272" i="13"/>
  <c r="O25" i="14"/>
  <c r="L15" i="14"/>
  <c r="O15" i="14" s="1"/>
  <c r="L19" i="14"/>
  <c r="N19" i="14"/>
  <c r="M11" i="13"/>
  <c r="N32" i="13"/>
  <c r="N30" i="13" s="1"/>
  <c r="N120" i="13"/>
  <c r="P224" i="13"/>
  <c r="K618" i="13"/>
  <c r="K616" i="13"/>
  <c r="K614" i="13"/>
  <c r="K612" i="13"/>
  <c r="K619" i="13"/>
  <c r="K617" i="13"/>
  <c r="K615" i="13"/>
  <c r="K613" i="13"/>
  <c r="K611" i="13"/>
  <c r="P42" i="14"/>
  <c r="M41" i="14"/>
  <c r="K372" i="13"/>
  <c r="P311" i="14"/>
  <c r="O661" i="14"/>
  <c r="L640" i="14"/>
  <c r="O258" i="15"/>
  <c r="K370" i="13"/>
  <c r="N22" i="14"/>
  <c r="P57" i="14"/>
  <c r="N55" i="14"/>
  <c r="L26" i="14"/>
  <c r="P95" i="14"/>
  <c r="O291" i="14"/>
  <c r="O221" i="14"/>
  <c r="O258" i="14"/>
  <c r="M14" i="15"/>
  <c r="P14" i="15" s="1"/>
  <c r="P34" i="15"/>
  <c r="O42" i="15"/>
  <c r="O45" i="15"/>
  <c r="L43" i="15"/>
  <c r="L41" i="15" s="1"/>
  <c r="M220" i="15"/>
  <c r="O279" i="15"/>
  <c r="P294" i="15"/>
  <c r="L640" i="13"/>
  <c r="L23" i="14"/>
  <c r="P251" i="14"/>
  <c r="N19" i="15"/>
  <c r="N15" i="15"/>
  <c r="O144" i="15"/>
  <c r="O291" i="15"/>
  <c r="M271" i="13"/>
  <c r="M318" i="13"/>
  <c r="L29" i="14"/>
  <c r="M30" i="14"/>
  <c r="P30" i="14" s="1"/>
  <c r="O74" i="14"/>
  <c r="K117" i="14"/>
  <c r="L292" i="14"/>
  <c r="O292" i="14" s="1"/>
  <c r="P272" i="15"/>
  <c r="M15" i="14"/>
  <c r="P15" i="14" s="1"/>
  <c r="M29" i="14"/>
  <c r="L34" i="14"/>
  <c r="M252" i="14"/>
  <c r="P252" i="14" s="1"/>
  <c r="K285" i="14"/>
  <c r="M292" i="14"/>
  <c r="P292" i="14" s="1"/>
  <c r="O385" i="14"/>
  <c r="O61" i="15"/>
  <c r="L26" i="15"/>
  <c r="L70" i="15"/>
  <c r="L23" i="15"/>
  <c r="O384" i="15"/>
  <c r="L33" i="15"/>
  <c r="O33" i="15" s="1"/>
  <c r="M14" i="14"/>
  <c r="P14" i="14" s="1"/>
  <c r="M271" i="14"/>
  <c r="O383" i="14"/>
  <c r="K419" i="14"/>
  <c r="K431" i="14"/>
  <c r="P95" i="15"/>
  <c r="O382" i="15"/>
  <c r="L31" i="15"/>
  <c r="L11" i="15" s="1"/>
  <c r="O439" i="15"/>
  <c r="L34" i="15"/>
  <c r="M55" i="15"/>
  <c r="M22" i="15"/>
  <c r="O221" i="15"/>
  <c r="O404" i="15"/>
  <c r="L32" i="15"/>
  <c r="M337" i="14"/>
  <c r="K547" i="14"/>
  <c r="M11" i="15"/>
  <c r="N43" i="15"/>
  <c r="K199" i="15"/>
  <c r="K621" i="14"/>
  <c r="K623" i="14"/>
  <c r="K564" i="14"/>
  <c r="P23" i="15"/>
  <c r="M13" i="15"/>
  <c r="P13" i="15" s="1"/>
  <c r="L24" i="15"/>
  <c r="O298" i="15"/>
  <c r="M298" i="15"/>
  <c r="K350" i="15"/>
  <c r="N33" i="15"/>
  <c r="N13" i="15" s="1"/>
  <c r="O599" i="15"/>
  <c r="L640" i="15"/>
  <c r="K401" i="15"/>
  <c r="K482" i="15"/>
  <c r="P251" i="15"/>
  <c r="M250" i="15"/>
  <c r="O254" i="15"/>
  <c r="K626" i="15"/>
  <c r="K624" i="15"/>
  <c r="K622" i="15"/>
  <c r="K620" i="15"/>
  <c r="P254" i="15"/>
  <c r="M273" i="15"/>
  <c r="K340" i="15"/>
  <c r="O352" i="15"/>
  <c r="K376" i="15"/>
  <c r="O406" i="15"/>
  <c r="K464" i="15"/>
  <c r="K612" i="15"/>
  <c r="K614" i="15"/>
  <c r="K616" i="15"/>
  <c r="P314" i="1" l="1"/>
  <c r="K235" i="1"/>
  <c r="P144" i="1"/>
  <c r="L120" i="8"/>
  <c r="L120" i="6"/>
  <c r="L142" i="6"/>
  <c r="L140" i="6" s="1"/>
  <c r="L252" i="14"/>
  <c r="O252" i="14" s="1"/>
  <c r="N11" i="15"/>
  <c r="N9" i="15" s="1"/>
  <c r="K473" i="1"/>
  <c r="K265" i="1"/>
  <c r="O144" i="5"/>
  <c r="K474" i="1"/>
  <c r="L142" i="7"/>
  <c r="O70" i="2"/>
  <c r="P220" i="14"/>
  <c r="O404" i="1"/>
  <c r="L142" i="12"/>
  <c r="K199" i="1"/>
  <c r="O45" i="10"/>
  <c r="P22" i="7"/>
  <c r="L312" i="6"/>
  <c r="O312" i="6" s="1"/>
  <c r="L142" i="4"/>
  <c r="O142" i="4" s="1"/>
  <c r="K628" i="1"/>
  <c r="K266" i="1"/>
  <c r="K431" i="1"/>
  <c r="K631" i="1"/>
  <c r="K109" i="1"/>
  <c r="M290" i="4"/>
  <c r="P290" i="4" s="1"/>
  <c r="K349" i="1"/>
  <c r="L252" i="7"/>
  <c r="O252" i="7" s="1"/>
  <c r="L252" i="10"/>
  <c r="O252" i="10" s="1"/>
  <c r="M310" i="8"/>
  <c r="P310" i="8" s="1"/>
  <c r="N329" i="6"/>
  <c r="O329" i="6" s="1"/>
  <c r="L222" i="12"/>
  <c r="L220" i="12" s="1"/>
  <c r="P275" i="1"/>
  <c r="L55" i="15"/>
  <c r="O55" i="15" s="1"/>
  <c r="O294" i="8"/>
  <c r="M94" i="2"/>
  <c r="P94" i="2" s="1"/>
  <c r="O57" i="6"/>
  <c r="K465" i="1"/>
  <c r="K418" i="1"/>
  <c r="K635" i="1"/>
  <c r="K64" i="1"/>
  <c r="L68" i="13"/>
  <c r="O68" i="13" s="1"/>
  <c r="M118" i="12"/>
  <c r="P118" i="12" s="1"/>
  <c r="O333" i="7"/>
  <c r="O142" i="12"/>
  <c r="P142" i="3"/>
  <c r="K401" i="1"/>
  <c r="K324" i="1"/>
  <c r="L120" i="13"/>
  <c r="L118" i="13" s="1"/>
  <c r="N11" i="12"/>
  <c r="N9" i="12" s="1"/>
  <c r="P290" i="13"/>
  <c r="N28" i="8"/>
  <c r="N11" i="8"/>
  <c r="N9" i="8" s="1"/>
  <c r="L120" i="2"/>
  <c r="L118" i="2" s="1"/>
  <c r="O118" i="2" s="1"/>
  <c r="O337" i="1"/>
  <c r="P271" i="8"/>
  <c r="K376" i="1"/>
  <c r="K426" i="1"/>
  <c r="O582" i="1"/>
  <c r="N12" i="15"/>
  <c r="N10" i="15" s="1"/>
  <c r="K176" i="1"/>
  <c r="O331" i="6"/>
  <c r="M310" i="9"/>
  <c r="P310" i="9" s="1"/>
  <c r="O333" i="6"/>
  <c r="P55" i="7"/>
  <c r="P96" i="9"/>
  <c r="O314" i="8"/>
  <c r="K219" i="1"/>
  <c r="M271" i="11"/>
  <c r="P271" i="11" s="1"/>
  <c r="M66" i="8"/>
  <c r="P66" i="8" s="1"/>
  <c r="O455" i="1"/>
  <c r="K417" i="1"/>
  <c r="P273" i="15"/>
  <c r="L222" i="9"/>
  <c r="O222" i="9" s="1"/>
  <c r="K249" i="1"/>
  <c r="K425" i="1"/>
  <c r="O580" i="1"/>
  <c r="K132" i="1"/>
  <c r="K85" i="1"/>
  <c r="O122" i="4"/>
  <c r="O34" i="8"/>
  <c r="O49" i="1"/>
  <c r="K186" i="1"/>
  <c r="O224" i="13"/>
  <c r="L120" i="11"/>
  <c r="O120" i="11" s="1"/>
  <c r="K455" i="1"/>
  <c r="O435" i="1"/>
  <c r="O333" i="9"/>
  <c r="P222" i="6"/>
  <c r="M290" i="10"/>
  <c r="P290" i="10" s="1"/>
  <c r="K138" i="1"/>
  <c r="P220" i="6"/>
  <c r="O568" i="1"/>
  <c r="K630" i="1"/>
  <c r="O385" i="1"/>
  <c r="O439" i="1"/>
  <c r="K449" i="1"/>
  <c r="O566" i="1"/>
  <c r="K420" i="1"/>
  <c r="O222" i="10"/>
  <c r="L120" i="12"/>
  <c r="L118" i="12" s="1"/>
  <c r="O118" i="12" s="1"/>
  <c r="P222" i="14"/>
  <c r="K164" i="1"/>
  <c r="K108" i="1"/>
  <c r="K380" i="1"/>
  <c r="P273" i="8"/>
  <c r="O597" i="1"/>
  <c r="N20" i="2"/>
  <c r="N18" i="2" s="1"/>
  <c r="N12" i="3"/>
  <c r="O224" i="10"/>
  <c r="P331" i="11"/>
  <c r="N11" i="9"/>
  <c r="N9" i="9" s="1"/>
  <c r="P224" i="1"/>
  <c r="K80" i="1"/>
  <c r="O55" i="14"/>
  <c r="P122" i="1"/>
  <c r="L292" i="13"/>
  <c r="L290" i="13" s="1"/>
  <c r="O290" i="13" s="1"/>
  <c r="P22" i="12"/>
  <c r="M310" i="5"/>
  <c r="P310" i="5" s="1"/>
  <c r="P331" i="9"/>
  <c r="N28" i="4"/>
  <c r="L222" i="8"/>
  <c r="L220" i="8" s="1"/>
  <c r="O55" i="8"/>
  <c r="K498" i="1"/>
  <c r="N11" i="3"/>
  <c r="N9" i="3" s="1"/>
  <c r="K633" i="1"/>
  <c r="N53" i="8"/>
  <c r="P53" i="8" s="1"/>
  <c r="P273" i="14"/>
  <c r="K424" i="1"/>
  <c r="K216" i="1"/>
  <c r="K93" i="1"/>
  <c r="O34" i="14"/>
  <c r="L273" i="10"/>
  <c r="O273" i="10" s="1"/>
  <c r="O318" i="1"/>
  <c r="M290" i="11"/>
  <c r="P290" i="11" s="1"/>
  <c r="O294" i="5"/>
  <c r="O314" i="3"/>
  <c r="O333" i="8"/>
  <c r="N28" i="12"/>
  <c r="P26" i="8"/>
  <c r="K328" i="1"/>
  <c r="K589" i="1"/>
  <c r="L142" i="3"/>
  <c r="O142" i="3" s="1"/>
  <c r="L638" i="5"/>
  <c r="O638" i="5" s="1"/>
  <c r="K343" i="1"/>
  <c r="K422" i="1"/>
  <c r="O144" i="9"/>
  <c r="P220" i="5"/>
  <c r="K595" i="1"/>
  <c r="M310" i="7"/>
  <c r="P310" i="7" s="1"/>
  <c r="P292" i="12"/>
  <c r="M290" i="12"/>
  <c r="P290" i="12" s="1"/>
  <c r="P220" i="15"/>
  <c r="M94" i="14"/>
  <c r="P94" i="14" s="1"/>
  <c r="O45" i="3"/>
  <c r="P333" i="1"/>
  <c r="K117" i="1"/>
  <c r="K573" i="1"/>
  <c r="O333" i="2"/>
  <c r="P55" i="9"/>
  <c r="O584" i="1"/>
  <c r="K111" i="1"/>
  <c r="K158" i="1"/>
  <c r="K375" i="1"/>
  <c r="K632" i="1"/>
  <c r="K618" i="1"/>
  <c r="K435" i="1"/>
  <c r="P140" i="14"/>
  <c r="M290" i="14"/>
  <c r="P290" i="14" s="1"/>
  <c r="L312" i="15"/>
  <c r="L310" i="15" s="1"/>
  <c r="O310" i="15" s="1"/>
  <c r="P222" i="15"/>
  <c r="O57" i="8"/>
  <c r="L55" i="3"/>
  <c r="L53" i="3" s="1"/>
  <c r="O53" i="3" s="1"/>
  <c r="P70" i="1"/>
  <c r="L96" i="10"/>
  <c r="O96" i="10" s="1"/>
  <c r="K149" i="1"/>
  <c r="K432" i="1"/>
  <c r="O599" i="1"/>
  <c r="M118" i="9"/>
  <c r="P118" i="9" s="1"/>
  <c r="O57" i="13"/>
  <c r="L273" i="12"/>
  <c r="O273" i="12" s="1"/>
  <c r="L43" i="8"/>
  <c r="O43" i="8" s="1"/>
  <c r="N28" i="5"/>
  <c r="O45" i="2"/>
  <c r="K84" i="1"/>
  <c r="L312" i="12"/>
  <c r="L120" i="9"/>
  <c r="O120" i="9" s="1"/>
  <c r="M66" i="6"/>
  <c r="P66" i="6" s="1"/>
  <c r="P142" i="14"/>
  <c r="O347" i="1"/>
  <c r="K419" i="1"/>
  <c r="K466" i="1"/>
  <c r="K350" i="1"/>
  <c r="P53" i="9"/>
  <c r="K370" i="1"/>
  <c r="K270" i="1"/>
  <c r="K82" i="1"/>
  <c r="N41" i="11"/>
  <c r="P41" i="11" s="1"/>
  <c r="K617" i="1"/>
  <c r="O349" i="1"/>
  <c r="P252" i="15"/>
  <c r="O294" i="12"/>
  <c r="O401" i="1"/>
  <c r="O102" i="1"/>
  <c r="P120" i="15"/>
  <c r="O43" i="2"/>
  <c r="O55" i="10"/>
  <c r="P43" i="13"/>
  <c r="K613" i="1"/>
  <c r="K597" i="1"/>
  <c r="K397" i="1"/>
  <c r="K416" i="1"/>
  <c r="M310" i="4"/>
  <c r="P310" i="4" s="1"/>
  <c r="O601" i="1"/>
  <c r="K612" i="1"/>
  <c r="K430" i="1"/>
  <c r="K619" i="1"/>
  <c r="K634" i="1"/>
  <c r="M66" i="14"/>
  <c r="P66" i="14" s="1"/>
  <c r="M118" i="5"/>
  <c r="P118" i="5" s="1"/>
  <c r="L292" i="11"/>
  <c r="N28" i="6"/>
  <c r="K616" i="1"/>
  <c r="K615" i="1"/>
  <c r="O45" i="5"/>
  <c r="L96" i="8"/>
  <c r="O96" i="8" s="1"/>
  <c r="L292" i="4"/>
  <c r="O292" i="4" s="1"/>
  <c r="O564" i="1"/>
  <c r="O34" i="3"/>
  <c r="O55" i="7"/>
  <c r="P53" i="13"/>
  <c r="K629" i="1"/>
  <c r="K614" i="1"/>
  <c r="K306" i="1"/>
  <c r="K427" i="1"/>
  <c r="K611" i="1"/>
  <c r="K499" i="1"/>
  <c r="M94" i="15"/>
  <c r="P94" i="15" s="1"/>
  <c r="O140" i="11"/>
  <c r="K564" i="1"/>
  <c r="K428" i="1"/>
  <c r="K421" i="1"/>
  <c r="K133" i="1"/>
  <c r="L222" i="6"/>
  <c r="L220" i="6" s="1"/>
  <c r="O220" i="6" s="1"/>
  <c r="P16" i="8"/>
  <c r="K381" i="1"/>
  <c r="K372" i="1"/>
  <c r="K289" i="1"/>
  <c r="L312" i="11"/>
  <c r="O312" i="11" s="1"/>
  <c r="L120" i="7"/>
  <c r="O120" i="7" s="1"/>
  <c r="L140" i="12"/>
  <c r="O140" i="12" s="1"/>
  <c r="K88" i="1"/>
  <c r="N43" i="1"/>
  <c r="N41" i="1" s="1"/>
  <c r="L222" i="14"/>
  <c r="O222" i="14" s="1"/>
  <c r="L96" i="12"/>
  <c r="O96" i="12" s="1"/>
  <c r="L638" i="11"/>
  <c r="L636" i="11" s="1"/>
  <c r="O636" i="11" s="1"/>
  <c r="O333" i="11"/>
  <c r="M290" i="7"/>
  <c r="P290" i="7" s="1"/>
  <c r="O314" i="2"/>
  <c r="O254" i="4"/>
  <c r="L142" i="8"/>
  <c r="L140" i="8" s="1"/>
  <c r="O140" i="8" s="1"/>
  <c r="P96" i="3"/>
  <c r="L29" i="6"/>
  <c r="O29" i="6" s="1"/>
  <c r="P45" i="1"/>
  <c r="O275" i="15"/>
  <c r="P68" i="13"/>
  <c r="N53" i="10"/>
  <c r="P53" i="10" s="1"/>
  <c r="P55" i="10"/>
  <c r="M290" i="6"/>
  <c r="P290" i="6" s="1"/>
  <c r="N12" i="4"/>
  <c r="N10" i="4" s="1"/>
  <c r="L120" i="3"/>
  <c r="L118" i="3" s="1"/>
  <c r="O118" i="3" s="1"/>
  <c r="O142" i="10"/>
  <c r="O252" i="9"/>
  <c r="K112" i="1"/>
  <c r="O457" i="1"/>
  <c r="O537" i="1"/>
  <c r="P222" i="2"/>
  <c r="L53" i="8"/>
  <c r="O535" i="1"/>
  <c r="L273" i="8"/>
  <c r="O273" i="8" s="1"/>
  <c r="N118" i="8"/>
  <c r="P118" i="8" s="1"/>
  <c r="O43" i="7"/>
  <c r="L96" i="6"/>
  <c r="O96" i="6" s="1"/>
  <c r="O333" i="4"/>
  <c r="P94" i="3"/>
  <c r="O31" i="6"/>
  <c r="K340" i="1"/>
  <c r="O34" i="2"/>
  <c r="L68" i="9"/>
  <c r="O68" i="9" s="1"/>
  <c r="K229" i="1"/>
  <c r="K398" i="1"/>
  <c r="K65" i="1"/>
  <c r="K189" i="1"/>
  <c r="O331" i="7"/>
  <c r="K623" i="1"/>
  <c r="K481" i="1"/>
  <c r="K110" i="1"/>
  <c r="M66" i="12"/>
  <c r="P66" i="12" s="1"/>
  <c r="N12" i="7"/>
  <c r="N10" i="7" s="1"/>
  <c r="O34" i="11"/>
  <c r="K482" i="1"/>
  <c r="K464" i="1"/>
  <c r="O98" i="4"/>
  <c r="O333" i="5"/>
  <c r="P252" i="2"/>
  <c r="K547" i="1"/>
  <c r="O34" i="7"/>
  <c r="P55" i="13"/>
  <c r="K368" i="1"/>
  <c r="L292" i="15"/>
  <c r="O292" i="15" s="1"/>
  <c r="O98" i="14"/>
  <c r="M331" i="10"/>
  <c r="P331" i="10" s="1"/>
  <c r="N11" i="11"/>
  <c r="N9" i="11" s="1"/>
  <c r="N28" i="11"/>
  <c r="L273" i="13"/>
  <c r="O273" i="13" s="1"/>
  <c r="O57" i="7"/>
  <c r="L222" i="7"/>
  <c r="O222" i="7" s="1"/>
  <c r="K429" i="1"/>
  <c r="L331" i="15"/>
  <c r="O331" i="15" s="1"/>
  <c r="K200" i="1"/>
  <c r="O380" i="1"/>
  <c r="P271" i="13"/>
  <c r="O254" i="9"/>
  <c r="P53" i="5"/>
  <c r="K624" i="1"/>
  <c r="K87" i="1"/>
  <c r="K649" i="1"/>
  <c r="P53" i="7"/>
  <c r="K580" i="1"/>
  <c r="L331" i="14"/>
  <c r="O331" i="14" s="1"/>
  <c r="N220" i="10"/>
  <c r="P220" i="10" s="1"/>
  <c r="N66" i="3"/>
  <c r="P66" i="3" s="1"/>
  <c r="N220" i="2"/>
  <c r="P220" i="2" s="1"/>
  <c r="K626" i="1"/>
  <c r="L273" i="14"/>
  <c r="L120" i="5"/>
  <c r="O331" i="5"/>
  <c r="O32" i="4"/>
  <c r="P55" i="5"/>
  <c r="K92" i="1"/>
  <c r="L120" i="14"/>
  <c r="L118" i="14" s="1"/>
  <c r="O118" i="14" s="1"/>
  <c r="P142" i="7"/>
  <c r="L142" i="2"/>
  <c r="O142" i="2" s="1"/>
  <c r="K620" i="1"/>
  <c r="P273" i="13"/>
  <c r="M66" i="10"/>
  <c r="P66" i="10" s="1"/>
  <c r="O55" i="6"/>
  <c r="O96" i="4"/>
  <c r="I367" i="1"/>
  <c r="K367" i="1" s="1"/>
  <c r="K593" i="1"/>
  <c r="O459" i="1"/>
  <c r="O118" i="15"/>
  <c r="N28" i="3"/>
  <c r="K625" i="1"/>
  <c r="K591" i="1"/>
  <c r="N11" i="14"/>
  <c r="N9" i="14" s="1"/>
  <c r="L68" i="11"/>
  <c r="L66" i="11" s="1"/>
  <c r="O66" i="11" s="1"/>
  <c r="P140" i="7"/>
  <c r="O142" i="7"/>
  <c r="L11" i="2"/>
  <c r="L9" i="2" s="1"/>
  <c r="K81" i="1"/>
  <c r="K621" i="1"/>
  <c r="L14" i="7"/>
  <c r="O14" i="7" s="1"/>
  <c r="O55" i="5"/>
  <c r="K622" i="1"/>
  <c r="N41" i="14"/>
  <c r="P41" i="14" s="1"/>
  <c r="P222" i="10"/>
  <c r="P252" i="8"/>
  <c r="L22" i="5"/>
  <c r="L12" i="5" s="1"/>
  <c r="N14" i="3"/>
  <c r="N28" i="14"/>
  <c r="K497" i="1"/>
  <c r="O32" i="5"/>
  <c r="O312" i="3"/>
  <c r="L310" i="3"/>
  <c r="O310" i="3" s="1"/>
  <c r="O331" i="3"/>
  <c r="L329" i="3"/>
  <c r="O329" i="3" s="1"/>
  <c r="O142" i="5"/>
  <c r="L140" i="5"/>
  <c r="O140" i="5" s="1"/>
  <c r="O96" i="13"/>
  <c r="L94" i="13"/>
  <c r="O94" i="13" s="1"/>
  <c r="O57" i="14"/>
  <c r="O55" i="12"/>
  <c r="O43" i="5"/>
  <c r="N252" i="1"/>
  <c r="L222" i="11"/>
  <c r="O224" i="11"/>
  <c r="L142" i="13"/>
  <c r="O142" i="13" s="1"/>
  <c r="L252" i="11"/>
  <c r="O57" i="12"/>
  <c r="L96" i="3"/>
  <c r="O96" i="3" s="1"/>
  <c r="N32" i="1"/>
  <c r="N30" i="1" s="1"/>
  <c r="K267" i="1"/>
  <c r="O98" i="13"/>
  <c r="N11" i="13"/>
  <c r="N9" i="13" s="1"/>
  <c r="J651" i="1"/>
  <c r="L312" i="14"/>
  <c r="O312" i="14" s="1"/>
  <c r="P22" i="14"/>
  <c r="N28" i="13"/>
  <c r="O70" i="10"/>
  <c r="L96" i="9"/>
  <c r="O96" i="9" s="1"/>
  <c r="O314" i="7"/>
  <c r="O34" i="4"/>
  <c r="L53" i="5"/>
  <c r="O53" i="5" s="1"/>
  <c r="O224" i="4"/>
  <c r="O333" i="3"/>
  <c r="O275" i="3"/>
  <c r="O224" i="5"/>
  <c r="P43" i="2"/>
  <c r="O331" i="4"/>
  <c r="O70" i="4"/>
  <c r="K341" i="1"/>
  <c r="K185" i="1"/>
  <c r="L30" i="5"/>
  <c r="O30" i="5" s="1"/>
  <c r="L30" i="4"/>
  <c r="O30" i="4" s="1"/>
  <c r="O45" i="14"/>
  <c r="M271" i="10"/>
  <c r="P271" i="10" s="1"/>
  <c r="M250" i="10"/>
  <c r="P250" i="10" s="1"/>
  <c r="N220" i="8"/>
  <c r="K213" i="1"/>
  <c r="O122" i="15"/>
  <c r="L22" i="14"/>
  <c r="L12" i="14" s="1"/>
  <c r="L22" i="9"/>
  <c r="O22" i="9" s="1"/>
  <c r="N11" i="4"/>
  <c r="N9" i="4" s="1"/>
  <c r="K304" i="1"/>
  <c r="M220" i="3"/>
  <c r="P220" i="3" s="1"/>
  <c r="O120" i="15"/>
  <c r="O144" i="10"/>
  <c r="L312" i="13"/>
  <c r="L43" i="9"/>
  <c r="O43" i="9" s="1"/>
  <c r="L22" i="8"/>
  <c r="L12" i="8" s="1"/>
  <c r="L312" i="9"/>
  <c r="O312" i="9" s="1"/>
  <c r="N11" i="6"/>
  <c r="N9" i="6" s="1"/>
  <c r="L252" i="6"/>
  <c r="L250" i="6" s="1"/>
  <c r="O250" i="6" s="1"/>
  <c r="L94" i="4"/>
  <c r="O94" i="4" s="1"/>
  <c r="L271" i="5"/>
  <c r="O271" i="5" s="1"/>
  <c r="L55" i="4"/>
  <c r="L53" i="4" s="1"/>
  <c r="O53" i="4" s="1"/>
  <c r="P254" i="1"/>
  <c r="M118" i="6"/>
  <c r="P118" i="6" s="1"/>
  <c r="K402" i="1"/>
  <c r="O650" i="1"/>
  <c r="K83" i="1"/>
  <c r="L638" i="2"/>
  <c r="L636" i="2" s="1"/>
  <c r="O636" i="2" s="1"/>
  <c r="P222" i="11"/>
  <c r="P331" i="8"/>
  <c r="L55" i="2"/>
  <c r="K377" i="1"/>
  <c r="N41" i="2"/>
  <c r="P41" i="2" s="1"/>
  <c r="P220" i="11"/>
  <c r="M290" i="9"/>
  <c r="P290" i="9" s="1"/>
  <c r="M94" i="11"/>
  <c r="P94" i="11" s="1"/>
  <c r="N28" i="9"/>
  <c r="O294" i="6"/>
  <c r="O30" i="14"/>
  <c r="L9" i="14"/>
  <c r="O9" i="14" s="1"/>
  <c r="N329" i="11"/>
  <c r="P142" i="8"/>
  <c r="O294" i="3"/>
  <c r="N55" i="1"/>
  <c r="N53" i="1" s="1"/>
  <c r="O34" i="15"/>
  <c r="O32" i="14"/>
  <c r="L290" i="12"/>
  <c r="O290" i="12" s="1"/>
  <c r="N20" i="7"/>
  <c r="N18" i="7" s="1"/>
  <c r="O57" i="5"/>
  <c r="O329" i="4"/>
  <c r="M66" i="4"/>
  <c r="P66" i="4" s="1"/>
  <c r="O437" i="1"/>
  <c r="N22" i="1"/>
  <c r="N34" i="1"/>
  <c r="N14" i="1" s="1"/>
  <c r="O31" i="2"/>
  <c r="L312" i="10"/>
  <c r="O312" i="10" s="1"/>
  <c r="K648" i="1"/>
  <c r="O273" i="4"/>
  <c r="L250" i="8"/>
  <c r="O250" i="8" s="1"/>
  <c r="N28" i="15"/>
  <c r="M66" i="5"/>
  <c r="P66" i="5" s="1"/>
  <c r="P68" i="7"/>
  <c r="M66" i="7"/>
  <c r="P66" i="7" s="1"/>
  <c r="O30" i="11"/>
  <c r="N37" i="9"/>
  <c r="P273" i="5"/>
  <c r="M271" i="5"/>
  <c r="P271" i="5" s="1"/>
  <c r="O45" i="11"/>
  <c r="L43" i="11"/>
  <c r="O329" i="5"/>
  <c r="P252" i="6"/>
  <c r="M250" i="6"/>
  <c r="P250" i="6" s="1"/>
  <c r="N53" i="14"/>
  <c r="O53" i="14" s="1"/>
  <c r="M94" i="7"/>
  <c r="P94" i="7" s="1"/>
  <c r="P96" i="7"/>
  <c r="L41" i="7"/>
  <c r="O41" i="7" s="1"/>
  <c r="P142" i="6"/>
  <c r="M26" i="2"/>
  <c r="P26" i="2" s="1"/>
  <c r="O333" i="12"/>
  <c r="P140" i="9"/>
  <c r="P252" i="13"/>
  <c r="M250" i="13"/>
  <c r="P250" i="13" s="1"/>
  <c r="P120" i="11"/>
  <c r="M118" i="11"/>
  <c r="P118" i="11" s="1"/>
  <c r="M118" i="3"/>
  <c r="P118" i="3" s="1"/>
  <c r="P120" i="3"/>
  <c r="O222" i="15"/>
  <c r="L220" i="15"/>
  <c r="O220" i="15" s="1"/>
  <c r="N16" i="3"/>
  <c r="P16" i="3" s="1"/>
  <c r="P26" i="3"/>
  <c r="L22" i="15"/>
  <c r="L12" i="15" s="1"/>
  <c r="O333" i="13"/>
  <c r="O32" i="11"/>
  <c r="P16" i="11"/>
  <c r="N41" i="8"/>
  <c r="P41" i="8" s="1"/>
  <c r="K264" i="1"/>
  <c r="N312" i="1"/>
  <c r="L33" i="1"/>
  <c r="O33" i="1" s="1"/>
  <c r="L23" i="1"/>
  <c r="O23" i="1" s="1"/>
  <c r="P120" i="14"/>
  <c r="M118" i="14"/>
  <c r="P118" i="14" s="1"/>
  <c r="P222" i="12"/>
  <c r="N220" i="12"/>
  <c r="P312" i="6"/>
  <c r="M310" i="6"/>
  <c r="P310" i="6" s="1"/>
  <c r="P68" i="9"/>
  <c r="M66" i="9"/>
  <c r="P66" i="9" s="1"/>
  <c r="O34" i="13"/>
  <c r="L144" i="1"/>
  <c r="O144" i="1" s="1"/>
  <c r="O144" i="14"/>
  <c r="L142" i="14"/>
  <c r="L312" i="4"/>
  <c r="O314" i="4"/>
  <c r="P142" i="9"/>
  <c r="M66" i="11"/>
  <c r="P66" i="11" s="1"/>
  <c r="M329" i="8"/>
  <c r="P329" i="8" s="1"/>
  <c r="P26" i="11"/>
  <c r="L13" i="8"/>
  <c r="O13" i="8" s="1"/>
  <c r="O254" i="5"/>
  <c r="N644" i="1"/>
  <c r="N640" i="1" s="1"/>
  <c r="N638" i="1" s="1"/>
  <c r="N636" i="1" s="1"/>
  <c r="N20" i="4"/>
  <c r="N18" i="4" s="1"/>
  <c r="N292" i="1"/>
  <c r="L333" i="1"/>
  <c r="O333" i="1" s="1"/>
  <c r="O254" i="13"/>
  <c r="L252" i="13"/>
  <c r="P252" i="12"/>
  <c r="M250" i="12"/>
  <c r="P250" i="12" s="1"/>
  <c r="P273" i="6"/>
  <c r="M271" i="6"/>
  <c r="P271" i="6" s="1"/>
  <c r="P292" i="8"/>
  <c r="M290" i="8"/>
  <c r="P290" i="8" s="1"/>
  <c r="M250" i="5"/>
  <c r="P250" i="5" s="1"/>
  <c r="N29" i="7"/>
  <c r="N28" i="7" s="1"/>
  <c r="N11" i="7"/>
  <c r="N9" i="7" s="1"/>
  <c r="P96" i="10"/>
  <c r="M94" i="10"/>
  <c r="P94" i="10" s="1"/>
  <c r="M331" i="15"/>
  <c r="P331" i="15" s="1"/>
  <c r="O224" i="15"/>
  <c r="O144" i="11"/>
  <c r="O333" i="10"/>
  <c r="O275" i="9"/>
  <c r="L140" i="7"/>
  <c r="O140" i="7" s="1"/>
  <c r="O275" i="2"/>
  <c r="K450" i="1"/>
  <c r="L24" i="1"/>
  <c r="O96" i="14"/>
  <c r="L94" i="14"/>
  <c r="O94" i="14" s="1"/>
  <c r="M310" i="15"/>
  <c r="P310" i="15" s="1"/>
  <c r="P312" i="15"/>
  <c r="L252" i="12"/>
  <c r="O254" i="12"/>
  <c r="M94" i="9"/>
  <c r="P94" i="9" s="1"/>
  <c r="N31" i="1"/>
  <c r="M329" i="9"/>
  <c r="P329" i="9" s="1"/>
  <c r="P222" i="9"/>
  <c r="M220" i="9"/>
  <c r="P220" i="9" s="1"/>
  <c r="O292" i="10"/>
  <c r="L290" i="10"/>
  <c r="O290" i="10" s="1"/>
  <c r="O254" i="3"/>
  <c r="L252" i="3"/>
  <c r="P250" i="15"/>
  <c r="M66" i="15"/>
  <c r="P66" i="15" s="1"/>
  <c r="O32" i="13"/>
  <c r="N96" i="1"/>
  <c r="O98" i="11"/>
  <c r="L96" i="11"/>
  <c r="P273" i="7"/>
  <c r="M271" i="7"/>
  <c r="P271" i="7" s="1"/>
  <c r="P252" i="7"/>
  <c r="M250" i="7"/>
  <c r="P250" i="7" s="1"/>
  <c r="N20" i="3"/>
  <c r="N18" i="3" s="1"/>
  <c r="O94" i="5"/>
  <c r="P273" i="12"/>
  <c r="M271" i="12"/>
  <c r="P271" i="12" s="1"/>
  <c r="O68" i="7"/>
  <c r="L66" i="7"/>
  <c r="O66" i="7" s="1"/>
  <c r="N20" i="15"/>
  <c r="N18" i="15" s="1"/>
  <c r="M310" i="14"/>
  <c r="P310" i="14" s="1"/>
  <c r="O96" i="5"/>
  <c r="N26" i="1"/>
  <c r="N16" i="1" s="1"/>
  <c r="P142" i="15"/>
  <c r="O96" i="15"/>
  <c r="L94" i="15"/>
  <c r="O94" i="15" s="1"/>
  <c r="P292" i="13"/>
  <c r="N29" i="10"/>
  <c r="N28" i="10" s="1"/>
  <c r="N11" i="10"/>
  <c r="N9" i="10" s="1"/>
  <c r="L273" i="7"/>
  <c r="O275" i="7"/>
  <c r="N41" i="4"/>
  <c r="P41" i="4" s="1"/>
  <c r="P43" i="4"/>
  <c r="O11" i="10"/>
  <c r="L9" i="10"/>
  <c r="P331" i="7"/>
  <c r="M329" i="7"/>
  <c r="P329" i="7" s="1"/>
  <c r="O11" i="8"/>
  <c r="L9" i="8"/>
  <c r="L14" i="13"/>
  <c r="O14" i="13" s="1"/>
  <c r="O24" i="13"/>
  <c r="N220" i="13"/>
  <c r="P220" i="13" s="1"/>
  <c r="P222" i="13"/>
  <c r="N53" i="12"/>
  <c r="P53" i="12" s="1"/>
  <c r="O640" i="10"/>
  <c r="L638" i="10"/>
  <c r="O640" i="9"/>
  <c r="L638" i="9"/>
  <c r="O31" i="11"/>
  <c r="L29" i="11"/>
  <c r="L11" i="11"/>
  <c r="L271" i="9"/>
  <c r="O271" i="9" s="1"/>
  <c r="O120" i="6"/>
  <c r="L118" i="6"/>
  <c r="O118" i="6" s="1"/>
  <c r="O34" i="6"/>
  <c r="O24" i="3"/>
  <c r="L14" i="3"/>
  <c r="L68" i="3"/>
  <c r="O70" i="3"/>
  <c r="L70" i="1"/>
  <c r="O70" i="1" s="1"/>
  <c r="P53" i="4"/>
  <c r="P310" i="2"/>
  <c r="O298" i="1"/>
  <c r="P57" i="1"/>
  <c r="M55" i="1"/>
  <c r="P294" i="1"/>
  <c r="P29" i="4"/>
  <c r="M28" i="4"/>
  <c r="P28" i="4" s="1"/>
  <c r="O354" i="1"/>
  <c r="L34" i="1"/>
  <c r="P22" i="2"/>
  <c r="M12" i="2"/>
  <c r="O352" i="1"/>
  <c r="L32" i="1"/>
  <c r="M9" i="15"/>
  <c r="P11" i="15"/>
  <c r="O31" i="15"/>
  <c r="L29" i="15"/>
  <c r="M312" i="13"/>
  <c r="M312" i="1" s="1"/>
  <c r="P318" i="13"/>
  <c r="M26" i="13"/>
  <c r="M20" i="13" s="1"/>
  <c r="O142" i="15"/>
  <c r="L140" i="15"/>
  <c r="O140" i="15" s="1"/>
  <c r="M250" i="14"/>
  <c r="P250" i="14" s="1"/>
  <c r="O640" i="13"/>
  <c r="L638" i="13"/>
  <c r="L250" i="14"/>
  <c r="O250" i="14" s="1"/>
  <c r="O222" i="13"/>
  <c r="L220" i="13"/>
  <c r="P120" i="13"/>
  <c r="N118" i="13"/>
  <c r="P118" i="13" s="1"/>
  <c r="N120" i="1"/>
  <c r="L43" i="13"/>
  <c r="L22" i="13"/>
  <c r="O45" i="13"/>
  <c r="O26" i="11"/>
  <c r="L16" i="11"/>
  <c r="O16" i="11" s="1"/>
  <c r="O19" i="12"/>
  <c r="L16" i="12"/>
  <c r="O16" i="12" s="1"/>
  <c r="O26" i="12"/>
  <c r="P19" i="11"/>
  <c r="O23" i="10"/>
  <c r="L13" i="10"/>
  <c r="O13" i="10" s="1"/>
  <c r="O23" i="12"/>
  <c r="L13" i="12"/>
  <c r="O13" i="12" s="1"/>
  <c r="O68" i="10"/>
  <c r="L66" i="10"/>
  <c r="O66" i="10" s="1"/>
  <c r="O275" i="11"/>
  <c r="L273" i="11"/>
  <c r="N12" i="9"/>
  <c r="N10" i="9" s="1"/>
  <c r="N20" i="9"/>
  <c r="N18" i="9" s="1"/>
  <c r="L14" i="10"/>
  <c r="O14" i="10" s="1"/>
  <c r="O24" i="10"/>
  <c r="O331" i="8"/>
  <c r="L329" i="8"/>
  <c r="O329" i="8" s="1"/>
  <c r="O57" i="11"/>
  <c r="L22" i="11"/>
  <c r="L55" i="11"/>
  <c r="O640" i="8"/>
  <c r="L638" i="8"/>
  <c r="O292" i="7"/>
  <c r="L290" i="7"/>
  <c r="O290" i="7" s="1"/>
  <c r="O31" i="7"/>
  <c r="L29" i="7"/>
  <c r="M94" i="8"/>
  <c r="P94" i="8" s="1"/>
  <c r="O23" i="7"/>
  <c r="L13" i="7"/>
  <c r="O13" i="7" s="1"/>
  <c r="O19" i="7"/>
  <c r="O640" i="7"/>
  <c r="L638" i="7"/>
  <c r="P43" i="7"/>
  <c r="M41" i="7"/>
  <c r="O640" i="6"/>
  <c r="L638" i="6"/>
  <c r="O312" i="7"/>
  <c r="L310" i="7"/>
  <c r="O310" i="7" s="1"/>
  <c r="O31" i="4"/>
  <c r="L29" i="4"/>
  <c r="L290" i="6"/>
  <c r="O290" i="6" s="1"/>
  <c r="O292" i="6"/>
  <c r="P337" i="5"/>
  <c r="M331" i="5"/>
  <c r="O222" i="5"/>
  <c r="L220" i="5"/>
  <c r="O220" i="5" s="1"/>
  <c r="O26" i="2"/>
  <c r="L16" i="2"/>
  <c r="O16" i="2" s="1"/>
  <c r="M53" i="2"/>
  <c r="O26" i="5"/>
  <c r="L16" i="5"/>
  <c r="O16" i="5" s="1"/>
  <c r="N41" i="3"/>
  <c r="O41" i="3" s="1"/>
  <c r="P43" i="3"/>
  <c r="J671" i="1"/>
  <c r="P337" i="4"/>
  <c r="M337" i="1"/>
  <c r="P337" i="1" s="1"/>
  <c r="M331" i="4"/>
  <c r="P252" i="3"/>
  <c r="M250" i="3"/>
  <c r="M252" i="1"/>
  <c r="P55" i="4"/>
  <c r="O11" i="6"/>
  <c r="L9" i="6"/>
  <c r="N11" i="5"/>
  <c r="N9" i="5" s="1"/>
  <c r="M273" i="1"/>
  <c r="L640" i="1"/>
  <c r="O648" i="1"/>
  <c r="O70" i="6"/>
  <c r="L68" i="6"/>
  <c r="M9" i="5"/>
  <c r="P11" i="5"/>
  <c r="N250" i="4"/>
  <c r="O254" i="2"/>
  <c r="L254" i="1"/>
  <c r="O254" i="1" s="1"/>
  <c r="L252" i="2"/>
  <c r="L292" i="2"/>
  <c r="O294" i="2"/>
  <c r="L294" i="1"/>
  <c r="O294" i="1" s="1"/>
  <c r="O32" i="2"/>
  <c r="L30" i="2"/>
  <c r="M22" i="1"/>
  <c r="N12" i="2"/>
  <c r="N10" i="2" s="1"/>
  <c r="M331" i="14"/>
  <c r="M26" i="14"/>
  <c r="P337" i="14"/>
  <c r="N41" i="15"/>
  <c r="P43" i="15"/>
  <c r="O26" i="15"/>
  <c r="L16" i="15"/>
  <c r="O16" i="15" s="1"/>
  <c r="M28" i="14"/>
  <c r="P28" i="14" s="1"/>
  <c r="P29" i="14"/>
  <c r="O640" i="14"/>
  <c r="L638" i="14"/>
  <c r="N94" i="13"/>
  <c r="N94" i="1" s="1"/>
  <c r="P142" i="12"/>
  <c r="M140" i="12"/>
  <c r="P140" i="12" s="1"/>
  <c r="L29" i="10"/>
  <c r="O31" i="10"/>
  <c r="M12" i="11"/>
  <c r="P22" i="11"/>
  <c r="M20" i="11"/>
  <c r="M18" i="11" s="1"/>
  <c r="P26" i="9"/>
  <c r="M16" i="9"/>
  <c r="P16" i="9" s="1"/>
  <c r="O23" i="11"/>
  <c r="L13" i="11"/>
  <c r="O13" i="11" s="1"/>
  <c r="O122" i="10"/>
  <c r="L120" i="10"/>
  <c r="L22" i="10"/>
  <c r="O24" i="11"/>
  <c r="L14" i="11"/>
  <c r="O14" i="11" s="1"/>
  <c r="P22" i="8"/>
  <c r="M12" i="8"/>
  <c r="M20" i="8"/>
  <c r="M18" i="8" s="1"/>
  <c r="L41" i="6"/>
  <c r="O43" i="6"/>
  <c r="L250" i="9"/>
  <c r="O250" i="9" s="1"/>
  <c r="M28" i="6"/>
  <c r="P28" i="6" s="1"/>
  <c r="P29" i="6"/>
  <c r="M20" i="6"/>
  <c r="M12" i="6"/>
  <c r="P22" i="6"/>
  <c r="N12" i="8"/>
  <c r="N10" i="8" s="1"/>
  <c r="N20" i="8"/>
  <c r="N18" i="8" s="1"/>
  <c r="P102" i="4"/>
  <c r="M96" i="4"/>
  <c r="M26" i="4"/>
  <c r="M102" i="1"/>
  <c r="P102" i="1" s="1"/>
  <c r="P292" i="2"/>
  <c r="M290" i="2"/>
  <c r="P66" i="2"/>
  <c r="O252" i="4"/>
  <c r="L250" i="4"/>
  <c r="O68" i="4"/>
  <c r="L66" i="4"/>
  <c r="O66" i="4" s="1"/>
  <c r="O26" i="4"/>
  <c r="L16" i="4"/>
  <c r="O16" i="4" s="1"/>
  <c r="O534" i="1"/>
  <c r="L31" i="1"/>
  <c r="L22" i="3"/>
  <c r="M26" i="15"/>
  <c r="M20" i="15" s="1"/>
  <c r="P298" i="15"/>
  <c r="M298" i="1"/>
  <c r="P298" i="1" s="1"/>
  <c r="L30" i="15"/>
  <c r="O30" i="15" s="1"/>
  <c r="O32" i="15"/>
  <c r="M9" i="14"/>
  <c r="M292" i="15"/>
  <c r="M292" i="1" s="1"/>
  <c r="L290" i="14"/>
  <c r="O290" i="14" s="1"/>
  <c r="O26" i="13"/>
  <c r="L16" i="13"/>
  <c r="O16" i="13" s="1"/>
  <c r="O70" i="14"/>
  <c r="L68" i="14"/>
  <c r="O120" i="13"/>
  <c r="O23" i="13"/>
  <c r="L13" i="13"/>
  <c r="O13" i="13" s="1"/>
  <c r="O331" i="12"/>
  <c r="N329" i="12"/>
  <c r="O329" i="12" s="1"/>
  <c r="P331" i="12"/>
  <c r="N331" i="1"/>
  <c r="P55" i="12"/>
  <c r="L9" i="12"/>
  <c r="O11" i="12"/>
  <c r="L29" i="12"/>
  <c r="O31" i="12"/>
  <c r="M26" i="12"/>
  <c r="P49" i="12"/>
  <c r="P11" i="10"/>
  <c r="M9" i="10"/>
  <c r="O70" i="12"/>
  <c r="L68" i="12"/>
  <c r="P142" i="11"/>
  <c r="O142" i="11"/>
  <c r="O32" i="12"/>
  <c r="L30" i="12"/>
  <c r="O30" i="12" s="1"/>
  <c r="O45" i="12"/>
  <c r="L22" i="12"/>
  <c r="L43" i="12"/>
  <c r="N12" i="10"/>
  <c r="N10" i="10" s="1"/>
  <c r="N20" i="10"/>
  <c r="N18" i="10" s="1"/>
  <c r="O26" i="9"/>
  <c r="L16" i="9"/>
  <c r="O16" i="9" s="1"/>
  <c r="P140" i="11"/>
  <c r="O19" i="9"/>
  <c r="L310" i="8"/>
  <c r="O310" i="8" s="1"/>
  <c r="O26" i="7"/>
  <c r="L16" i="7"/>
  <c r="O16" i="7" s="1"/>
  <c r="O57" i="9"/>
  <c r="L55" i="9"/>
  <c r="L57" i="1"/>
  <c r="O24" i="8"/>
  <c r="L14" i="8"/>
  <c r="O14" i="8" s="1"/>
  <c r="O98" i="7"/>
  <c r="L96" i="7"/>
  <c r="L22" i="7"/>
  <c r="L11" i="7"/>
  <c r="O142" i="9"/>
  <c r="L140" i="9"/>
  <c r="O140" i="9" s="1"/>
  <c r="L30" i="7"/>
  <c r="O30" i="7" s="1"/>
  <c r="O32" i="7"/>
  <c r="O34" i="9"/>
  <c r="O53" i="6"/>
  <c r="P22" i="4"/>
  <c r="M12" i="4"/>
  <c r="O24" i="6"/>
  <c r="L14" i="6"/>
  <c r="O14" i="6" s="1"/>
  <c r="N11" i="2"/>
  <c r="N9" i="2" s="1"/>
  <c r="N29" i="2"/>
  <c r="N28" i="2" s="1"/>
  <c r="N290" i="2"/>
  <c r="P102" i="5"/>
  <c r="M26" i="5"/>
  <c r="M20" i="5" s="1"/>
  <c r="M18" i="5" s="1"/>
  <c r="O273" i="2"/>
  <c r="O68" i="2"/>
  <c r="O252" i="5"/>
  <c r="L250" i="5"/>
  <c r="O250" i="5" s="1"/>
  <c r="O23" i="4"/>
  <c r="L13" i="4"/>
  <c r="O13" i="4" s="1"/>
  <c r="O70" i="5"/>
  <c r="L68" i="5"/>
  <c r="N68" i="1"/>
  <c r="O23" i="6"/>
  <c r="L13" i="6"/>
  <c r="O13" i="6" s="1"/>
  <c r="N273" i="1"/>
  <c r="N271" i="3"/>
  <c r="N271" i="1" s="1"/>
  <c r="N310" i="1"/>
  <c r="M142" i="1"/>
  <c r="P142" i="2"/>
  <c r="M9" i="2"/>
  <c r="M9" i="3"/>
  <c r="P11" i="3"/>
  <c r="M9" i="1"/>
  <c r="P11" i="1"/>
  <c r="O331" i="2"/>
  <c r="O11" i="15"/>
  <c r="L9" i="15"/>
  <c r="P22" i="15"/>
  <c r="M12" i="15"/>
  <c r="M271" i="15"/>
  <c r="P271" i="15" s="1"/>
  <c r="P11" i="13"/>
  <c r="M9" i="13"/>
  <c r="O19" i="14"/>
  <c r="O11" i="13"/>
  <c r="L9" i="13"/>
  <c r="M41" i="12"/>
  <c r="P43" i="12"/>
  <c r="N12" i="11"/>
  <c r="N10" i="11" s="1"/>
  <c r="N20" i="11"/>
  <c r="N18" i="11" s="1"/>
  <c r="O26" i="10"/>
  <c r="L16" i="10"/>
  <c r="O16" i="10" s="1"/>
  <c r="P11" i="12"/>
  <c r="M9" i="12"/>
  <c r="P22" i="5"/>
  <c r="M12" i="5"/>
  <c r="O292" i="8"/>
  <c r="L290" i="8"/>
  <c r="O290" i="8" s="1"/>
  <c r="N37" i="7"/>
  <c r="O275" i="6"/>
  <c r="L273" i="6"/>
  <c r="L275" i="1"/>
  <c r="O275" i="1" s="1"/>
  <c r="P9" i="7"/>
  <c r="O31" i="3"/>
  <c r="L11" i="3"/>
  <c r="L29" i="3"/>
  <c r="O271" i="2"/>
  <c r="O66" i="2"/>
  <c r="O640" i="3"/>
  <c r="L638" i="3"/>
  <c r="M329" i="3"/>
  <c r="P329" i="3" s="1"/>
  <c r="P331" i="3"/>
  <c r="P312" i="2"/>
  <c r="N222" i="1"/>
  <c r="P19" i="1"/>
  <c r="O640" i="15"/>
  <c r="L638" i="15"/>
  <c r="O24" i="15"/>
  <c r="L14" i="15"/>
  <c r="O14" i="15" s="1"/>
  <c r="M53" i="15"/>
  <c r="P55" i="15"/>
  <c r="P271" i="14"/>
  <c r="L13" i="15"/>
  <c r="O13" i="15" s="1"/>
  <c r="O23" i="15"/>
  <c r="O252" i="15"/>
  <c r="L250" i="15"/>
  <c r="O250" i="15" s="1"/>
  <c r="M331" i="13"/>
  <c r="P337" i="13"/>
  <c r="O331" i="13"/>
  <c r="L329" i="13"/>
  <c r="O329" i="13" s="1"/>
  <c r="P22" i="13"/>
  <c r="M12" i="13"/>
  <c r="P49" i="10"/>
  <c r="M26" i="10"/>
  <c r="M49" i="1"/>
  <c r="P29" i="12"/>
  <c r="M28" i="12"/>
  <c r="P28" i="12" s="1"/>
  <c r="O24" i="9"/>
  <c r="L14" i="9"/>
  <c r="O14" i="9" s="1"/>
  <c r="O31" i="8"/>
  <c r="L29" i="8"/>
  <c r="L329" i="7"/>
  <c r="O329" i="7" s="1"/>
  <c r="O294" i="9"/>
  <c r="L292" i="9"/>
  <c r="O70" i="8"/>
  <c r="L68" i="8"/>
  <c r="O32" i="8"/>
  <c r="L30" i="8"/>
  <c r="O30" i="8" s="1"/>
  <c r="L53" i="7"/>
  <c r="O53" i="7" s="1"/>
  <c r="O26" i="6"/>
  <c r="L16" i="6"/>
  <c r="O16" i="6" s="1"/>
  <c r="P22" i="9"/>
  <c r="M12" i="9"/>
  <c r="M20" i="9"/>
  <c r="P9" i="6"/>
  <c r="L30" i="9"/>
  <c r="O30" i="9" s="1"/>
  <c r="O32" i="9"/>
  <c r="M9" i="8"/>
  <c r="P11" i="8"/>
  <c r="O11" i="4"/>
  <c r="L9" i="4"/>
  <c r="P26" i="6"/>
  <c r="M16" i="6"/>
  <c r="P16" i="6" s="1"/>
  <c r="P252" i="4"/>
  <c r="O222" i="4"/>
  <c r="L220" i="4"/>
  <c r="N220" i="4"/>
  <c r="P220" i="4" s="1"/>
  <c r="P222" i="4"/>
  <c r="O312" i="2"/>
  <c r="P142" i="5"/>
  <c r="M140" i="5"/>
  <c r="P140" i="5" s="1"/>
  <c r="P271" i="2"/>
  <c r="N20" i="5"/>
  <c r="N18" i="5" s="1"/>
  <c r="N12" i="5"/>
  <c r="N10" i="5" s="1"/>
  <c r="O224" i="3"/>
  <c r="L222" i="3"/>
  <c r="O43" i="3"/>
  <c r="O329" i="2"/>
  <c r="P292" i="3"/>
  <c r="N290" i="3"/>
  <c r="P290" i="3" s="1"/>
  <c r="O19" i="2"/>
  <c r="M53" i="3"/>
  <c r="P55" i="3"/>
  <c r="N140" i="6"/>
  <c r="L312" i="5"/>
  <c r="O314" i="5"/>
  <c r="L314" i="1"/>
  <c r="O314" i="1" s="1"/>
  <c r="M9" i="4"/>
  <c r="P11" i="4"/>
  <c r="O98" i="2"/>
  <c r="L96" i="2"/>
  <c r="L98" i="1"/>
  <c r="O98" i="1" s="1"/>
  <c r="O292" i="3"/>
  <c r="P29" i="3"/>
  <c r="M28" i="3"/>
  <c r="P28" i="3" s="1"/>
  <c r="L122" i="1"/>
  <c r="O122" i="1" s="1"/>
  <c r="O19" i="1"/>
  <c r="L14" i="2"/>
  <c r="O14" i="2" s="1"/>
  <c r="O43" i="15"/>
  <c r="N12" i="14"/>
  <c r="N10" i="14" s="1"/>
  <c r="N20" i="14"/>
  <c r="N18" i="14" s="1"/>
  <c r="O24" i="14"/>
  <c r="L14" i="14"/>
  <c r="O14" i="14" s="1"/>
  <c r="M140" i="13"/>
  <c r="P142" i="13"/>
  <c r="P102" i="12"/>
  <c r="M96" i="12"/>
  <c r="O19" i="13"/>
  <c r="L14" i="12"/>
  <c r="O14" i="12" s="1"/>
  <c r="O24" i="12"/>
  <c r="O331" i="9"/>
  <c r="L329" i="9"/>
  <c r="O329" i="9" s="1"/>
  <c r="O11" i="9"/>
  <c r="L9" i="9"/>
  <c r="O19" i="8"/>
  <c r="O23" i="9"/>
  <c r="L13" i="9"/>
  <c r="O13" i="9" s="1"/>
  <c r="P337" i="7"/>
  <c r="M26" i="7"/>
  <c r="P19" i="8"/>
  <c r="M41" i="6"/>
  <c r="P43" i="6"/>
  <c r="O24" i="4"/>
  <c r="L14" i="4"/>
  <c r="O14" i="4" s="1"/>
  <c r="P96" i="6"/>
  <c r="M94" i="6"/>
  <c r="P94" i="6" s="1"/>
  <c r="O640" i="4"/>
  <c r="L638" i="4"/>
  <c r="P19" i="4"/>
  <c r="O292" i="5"/>
  <c r="L290" i="5"/>
  <c r="O290" i="5" s="1"/>
  <c r="O23" i="2"/>
  <c r="L13" i="2"/>
  <c r="O13" i="2" s="1"/>
  <c r="O34" i="5"/>
  <c r="L43" i="4"/>
  <c r="L22" i="4"/>
  <c r="O45" i="4"/>
  <c r="L45" i="1"/>
  <c r="L13" i="5"/>
  <c r="O13" i="5" s="1"/>
  <c r="O23" i="5"/>
  <c r="N140" i="2"/>
  <c r="P140" i="2" s="1"/>
  <c r="N142" i="1"/>
  <c r="O383" i="1"/>
  <c r="N33" i="1"/>
  <c r="N13" i="1" s="1"/>
  <c r="P19" i="5"/>
  <c r="L68" i="15"/>
  <c r="O70" i="15"/>
  <c r="L28" i="14"/>
  <c r="O29" i="14"/>
  <c r="O23" i="14"/>
  <c r="L13" i="14"/>
  <c r="O13" i="14" s="1"/>
  <c r="O273" i="15"/>
  <c r="L271" i="15"/>
  <c r="O271" i="15" s="1"/>
  <c r="O26" i="14"/>
  <c r="L16" i="14"/>
  <c r="O16" i="14" s="1"/>
  <c r="O43" i="14"/>
  <c r="L41" i="14"/>
  <c r="P55" i="14"/>
  <c r="L53" i="13"/>
  <c r="O53" i="13" s="1"/>
  <c r="O55" i="13"/>
  <c r="O30" i="13"/>
  <c r="L29" i="13"/>
  <c r="O31" i="13"/>
  <c r="N12" i="13"/>
  <c r="N10" i="13" s="1"/>
  <c r="N20" i="13"/>
  <c r="N18" i="13" s="1"/>
  <c r="L638" i="12"/>
  <c r="O640" i="12"/>
  <c r="M118" i="10"/>
  <c r="P118" i="10" s="1"/>
  <c r="N20" i="12"/>
  <c r="N18" i="12" s="1"/>
  <c r="N12" i="12"/>
  <c r="N10" i="12" s="1"/>
  <c r="L41" i="10"/>
  <c r="O43" i="10"/>
  <c r="L329" i="11"/>
  <c r="O331" i="11"/>
  <c r="P55" i="11"/>
  <c r="M53" i="11"/>
  <c r="M9" i="11"/>
  <c r="P15" i="11"/>
  <c r="O331" i="10"/>
  <c r="L329" i="10"/>
  <c r="O329" i="10" s="1"/>
  <c r="M43" i="10"/>
  <c r="O34" i="12"/>
  <c r="P140" i="10"/>
  <c r="O34" i="10"/>
  <c r="L29" i="9"/>
  <c r="O31" i="9"/>
  <c r="L140" i="10"/>
  <c r="O140" i="10" s="1"/>
  <c r="O19" i="10"/>
  <c r="P252" i="9"/>
  <c r="M250" i="9"/>
  <c r="P250" i="9" s="1"/>
  <c r="P142" i="10"/>
  <c r="P22" i="10"/>
  <c r="M271" i="9"/>
  <c r="P271" i="9" s="1"/>
  <c r="O26" i="8"/>
  <c r="L16" i="8"/>
  <c r="O16" i="8" s="1"/>
  <c r="O32" i="10"/>
  <c r="L30" i="10"/>
  <c r="O30" i="10" s="1"/>
  <c r="P220" i="7"/>
  <c r="O120" i="8"/>
  <c r="L118" i="8"/>
  <c r="L22" i="6"/>
  <c r="P43" i="9"/>
  <c r="M41" i="9"/>
  <c r="O32" i="6"/>
  <c r="L30" i="6"/>
  <c r="O30" i="6" s="1"/>
  <c r="N20" i="6"/>
  <c r="N18" i="6" s="1"/>
  <c r="N12" i="6"/>
  <c r="N10" i="6" s="1"/>
  <c r="P55" i="6"/>
  <c r="M53" i="6"/>
  <c r="P53" i="6" s="1"/>
  <c r="P96" i="5"/>
  <c r="M94" i="5"/>
  <c r="P94" i="5" s="1"/>
  <c r="O273" i="3"/>
  <c r="L271" i="3"/>
  <c r="P142" i="4"/>
  <c r="M140" i="4"/>
  <c r="P140" i="4" s="1"/>
  <c r="L30" i="3"/>
  <c r="O30" i="3" s="1"/>
  <c r="O32" i="3"/>
  <c r="P312" i="3"/>
  <c r="M310" i="3"/>
  <c r="P310" i="3" s="1"/>
  <c r="P120" i="2"/>
  <c r="M118" i="2"/>
  <c r="M120" i="1"/>
  <c r="P222" i="5"/>
  <c r="M222" i="1"/>
  <c r="M329" i="2"/>
  <c r="P331" i="2"/>
  <c r="O31" i="5"/>
  <c r="L29" i="5"/>
  <c r="L11" i="5"/>
  <c r="O24" i="5"/>
  <c r="L14" i="5"/>
  <c r="O14" i="5" s="1"/>
  <c r="O23" i="3"/>
  <c r="L13" i="3"/>
  <c r="O13" i="3" s="1"/>
  <c r="P318" i="2"/>
  <c r="M318" i="1"/>
  <c r="P318" i="1" s="1"/>
  <c r="O26" i="3"/>
  <c r="L16" i="3"/>
  <c r="L41" i="5"/>
  <c r="L222" i="2"/>
  <c r="O224" i="2"/>
  <c r="L224" i="1"/>
  <c r="O224" i="1" s="1"/>
  <c r="P22" i="3"/>
  <c r="M12" i="3"/>
  <c r="M20" i="3"/>
  <c r="N41" i="5"/>
  <c r="N37" i="5" s="1"/>
  <c r="P43" i="5"/>
  <c r="L310" i="2"/>
  <c r="L22" i="2"/>
  <c r="L26" i="1"/>
  <c r="P68" i="2"/>
  <c r="M68" i="1"/>
  <c r="O120" i="4"/>
  <c r="L118" i="4"/>
  <c r="O118" i="4" s="1"/>
  <c r="L66" i="13" l="1"/>
  <c r="O66" i="13" s="1"/>
  <c r="O142" i="6"/>
  <c r="N8" i="12"/>
  <c r="L140" i="4"/>
  <c r="O140" i="4" s="1"/>
  <c r="L310" i="6"/>
  <c r="O310" i="6" s="1"/>
  <c r="O220" i="12"/>
  <c r="N8" i="8"/>
  <c r="P329" i="6"/>
  <c r="O222" i="12"/>
  <c r="L636" i="5"/>
  <c r="O636" i="5" s="1"/>
  <c r="L118" i="11"/>
  <c r="O118" i="11" s="1"/>
  <c r="L220" i="9"/>
  <c r="O220" i="9" s="1"/>
  <c r="L250" i="7"/>
  <c r="O250" i="7" s="1"/>
  <c r="L250" i="10"/>
  <c r="O250" i="10" s="1"/>
  <c r="L20" i="8"/>
  <c r="L18" i="8" s="1"/>
  <c r="O18" i="8" s="1"/>
  <c r="L53" i="15"/>
  <c r="O53" i="15" s="1"/>
  <c r="O120" i="2"/>
  <c r="O68" i="11"/>
  <c r="L20" i="5"/>
  <c r="L18" i="5" s="1"/>
  <c r="O18" i="5" s="1"/>
  <c r="O292" i="13"/>
  <c r="O638" i="11"/>
  <c r="O638" i="2"/>
  <c r="L310" i="11"/>
  <c r="O310" i="11" s="1"/>
  <c r="P53" i="14"/>
  <c r="N8" i="7"/>
  <c r="M329" i="10"/>
  <c r="P329" i="10" s="1"/>
  <c r="L220" i="14"/>
  <c r="O220" i="14" s="1"/>
  <c r="N8" i="6"/>
  <c r="O22" i="5"/>
  <c r="L94" i="6"/>
  <c r="O94" i="6" s="1"/>
  <c r="O120" i="12"/>
  <c r="N8" i="9"/>
  <c r="O55" i="4"/>
  <c r="O222" i="8"/>
  <c r="L66" i="9"/>
  <c r="O66" i="9" s="1"/>
  <c r="O120" i="14"/>
  <c r="O290" i="3"/>
  <c r="O312" i="15"/>
  <c r="P312" i="1"/>
  <c r="O22" i="15"/>
  <c r="P120" i="1"/>
  <c r="L290" i="4"/>
  <c r="O290" i="4" s="1"/>
  <c r="L140" i="3"/>
  <c r="O140" i="3" s="1"/>
  <c r="L20" i="14"/>
  <c r="L18" i="14" s="1"/>
  <c r="O18" i="14" s="1"/>
  <c r="O28" i="14"/>
  <c r="L271" i="13"/>
  <c r="O271" i="13" s="1"/>
  <c r="N37" i="11"/>
  <c r="N37" i="14"/>
  <c r="L140" i="2"/>
  <c r="O140" i="2" s="1"/>
  <c r="L271" i="8"/>
  <c r="O271" i="8" s="1"/>
  <c r="L271" i="10"/>
  <c r="O271" i="10" s="1"/>
  <c r="L271" i="12"/>
  <c r="O271" i="12" s="1"/>
  <c r="O53" i="8"/>
  <c r="O11" i="2"/>
  <c r="O220" i="8"/>
  <c r="N8" i="15"/>
  <c r="L12" i="9"/>
  <c r="O12" i="9" s="1"/>
  <c r="L290" i="15"/>
  <c r="O290" i="15" s="1"/>
  <c r="L94" i="10"/>
  <c r="O94" i="10" s="1"/>
  <c r="N8" i="4"/>
  <c r="P12" i="7"/>
  <c r="L94" i="9"/>
  <c r="O94" i="9" s="1"/>
  <c r="L41" i="8"/>
  <c r="O41" i="8" s="1"/>
  <c r="L118" i="9"/>
  <c r="O118" i="9" s="1"/>
  <c r="O220" i="10"/>
  <c r="O118" i="8"/>
  <c r="O252" i="6"/>
  <c r="O142" i="8"/>
  <c r="O222" i="6"/>
  <c r="L118" i="7"/>
  <c r="O118" i="7" s="1"/>
  <c r="O312" i="12"/>
  <c r="L310" i="12"/>
  <c r="O310" i="12" s="1"/>
  <c r="L142" i="1"/>
  <c r="O142" i="1" s="1"/>
  <c r="L94" i="8"/>
  <c r="O94" i="8" s="1"/>
  <c r="O55" i="3"/>
  <c r="L329" i="14"/>
  <c r="O329" i="14" s="1"/>
  <c r="N8" i="11"/>
  <c r="L331" i="1"/>
  <c r="O331" i="1" s="1"/>
  <c r="O220" i="13"/>
  <c r="L329" i="15"/>
  <c r="O329" i="15" s="1"/>
  <c r="L290" i="11"/>
  <c r="O290" i="11" s="1"/>
  <c r="O292" i="11"/>
  <c r="L20" i="9"/>
  <c r="L18" i="9" s="1"/>
  <c r="O18" i="9" s="1"/>
  <c r="P329" i="11"/>
  <c r="N12" i="1"/>
  <c r="N10" i="1" s="1"/>
  <c r="O329" i="11"/>
  <c r="L220" i="7"/>
  <c r="O220" i="7" s="1"/>
  <c r="N8" i="14"/>
  <c r="L13" i="1"/>
  <c r="O13" i="1" s="1"/>
  <c r="N66" i="1"/>
  <c r="N37" i="8"/>
  <c r="O22" i="8"/>
  <c r="O41" i="2"/>
  <c r="N20" i="1"/>
  <c r="N18" i="1" s="1"/>
  <c r="O120" i="3"/>
  <c r="L140" i="13"/>
  <c r="O140" i="13" s="1"/>
  <c r="O53" i="10"/>
  <c r="L120" i="1"/>
  <c r="O120" i="1" s="1"/>
  <c r="O14" i="3"/>
  <c r="L310" i="14"/>
  <c r="O310" i="14" s="1"/>
  <c r="O22" i="14"/>
  <c r="P252" i="1"/>
  <c r="L310" i="10"/>
  <c r="O310" i="10" s="1"/>
  <c r="P220" i="8"/>
  <c r="L94" i="3"/>
  <c r="O94" i="3" s="1"/>
  <c r="N37" i="10"/>
  <c r="L94" i="12"/>
  <c r="O94" i="12" s="1"/>
  <c r="P12" i="10"/>
  <c r="L310" i="9"/>
  <c r="O310" i="9" s="1"/>
  <c r="O120" i="5"/>
  <c r="L118" i="5"/>
  <c r="O118" i="5" s="1"/>
  <c r="L271" i="14"/>
  <c r="O271" i="14" s="1"/>
  <c r="O273" i="14"/>
  <c r="O55" i="2"/>
  <c r="L53" i="2"/>
  <c r="O53" i="2" s="1"/>
  <c r="N8" i="13"/>
  <c r="O53" i="12"/>
  <c r="N8" i="10"/>
  <c r="O312" i="13"/>
  <c r="L310" i="13"/>
  <c r="O310" i="13" s="1"/>
  <c r="O16" i="3"/>
  <c r="L41" i="9"/>
  <c r="O41" i="9" s="1"/>
  <c r="M16" i="2"/>
  <c r="P16" i="2" s="1"/>
  <c r="M20" i="2"/>
  <c r="M18" i="2" s="1"/>
  <c r="P18" i="2" s="1"/>
  <c r="L14" i="1"/>
  <c r="O14" i="1" s="1"/>
  <c r="O252" i="11"/>
  <c r="L250" i="11"/>
  <c r="O250" i="11" s="1"/>
  <c r="O271" i="3"/>
  <c r="P292" i="1"/>
  <c r="O34" i="1"/>
  <c r="O222" i="11"/>
  <c r="L220" i="11"/>
  <c r="O220" i="11" s="1"/>
  <c r="M329" i="15"/>
  <c r="P329" i="15" s="1"/>
  <c r="N140" i="1"/>
  <c r="N10" i="3"/>
  <c r="N8" i="3" s="1"/>
  <c r="N329" i="1"/>
  <c r="N118" i="1"/>
  <c r="O118" i="13"/>
  <c r="L41" i="11"/>
  <c r="O41" i="11" s="1"/>
  <c r="O43" i="11"/>
  <c r="O220" i="4"/>
  <c r="P329" i="12"/>
  <c r="N8" i="2"/>
  <c r="M66" i="1"/>
  <c r="L250" i="12"/>
  <c r="O250" i="12" s="1"/>
  <c r="O252" i="12"/>
  <c r="O96" i="11"/>
  <c r="L94" i="11"/>
  <c r="O94" i="11" s="1"/>
  <c r="O252" i="13"/>
  <c r="L250" i="13"/>
  <c r="O250" i="13" s="1"/>
  <c r="O24" i="1"/>
  <c r="L271" i="7"/>
  <c r="O271" i="7" s="1"/>
  <c r="O273" i="7"/>
  <c r="O252" i="3"/>
  <c r="L250" i="3"/>
  <c r="O250" i="3" s="1"/>
  <c r="P18" i="8"/>
  <c r="M220" i="1"/>
  <c r="N29" i="1"/>
  <c r="N28" i="1" s="1"/>
  <c r="N11" i="1"/>
  <c r="N9" i="1" s="1"/>
  <c r="L310" i="4"/>
  <c r="O310" i="4" s="1"/>
  <c r="O312" i="4"/>
  <c r="P220" i="12"/>
  <c r="P12" i="14"/>
  <c r="O250" i="4"/>
  <c r="M331" i="1"/>
  <c r="P331" i="1" s="1"/>
  <c r="L20" i="15"/>
  <c r="O20" i="15" s="1"/>
  <c r="O142" i="14"/>
  <c r="L140" i="14"/>
  <c r="O140" i="14" s="1"/>
  <c r="P68" i="1"/>
  <c r="P41" i="5"/>
  <c r="M37" i="8"/>
  <c r="P140" i="13"/>
  <c r="O32" i="1"/>
  <c r="L30" i="1"/>
  <c r="O30" i="1" s="1"/>
  <c r="O68" i="3"/>
  <c r="L66" i="3"/>
  <c r="P26" i="7"/>
  <c r="M16" i="7"/>
  <c r="M20" i="7"/>
  <c r="M271" i="1"/>
  <c r="P271" i="1" s="1"/>
  <c r="O9" i="4"/>
  <c r="O12" i="14"/>
  <c r="L10" i="14"/>
  <c r="O638" i="15"/>
  <c r="L636" i="15"/>
  <c r="O636" i="15" s="1"/>
  <c r="O11" i="3"/>
  <c r="L9" i="3"/>
  <c r="P20" i="5"/>
  <c r="O9" i="13"/>
  <c r="O9" i="15"/>
  <c r="O68" i="5"/>
  <c r="L66" i="5"/>
  <c r="O66" i="5" s="1"/>
  <c r="P26" i="5"/>
  <c r="M16" i="5"/>
  <c r="P16" i="5" s="1"/>
  <c r="O22" i="12"/>
  <c r="L12" i="12"/>
  <c r="L20" i="12"/>
  <c r="P96" i="4"/>
  <c r="M94" i="4"/>
  <c r="M96" i="1"/>
  <c r="P96" i="1" s="1"/>
  <c r="P20" i="6"/>
  <c r="M18" i="6"/>
  <c r="P18" i="6" s="1"/>
  <c r="O12" i="8"/>
  <c r="L10" i="8"/>
  <c r="O10" i="8" s="1"/>
  <c r="O273" i="11"/>
  <c r="L271" i="11"/>
  <c r="O271" i="11" s="1"/>
  <c r="P18" i="11"/>
  <c r="P312" i="13"/>
  <c r="M310" i="13"/>
  <c r="P310" i="13" s="1"/>
  <c r="N37" i="2"/>
  <c r="P118" i="2"/>
  <c r="M118" i="1"/>
  <c r="P12" i="9"/>
  <c r="M10" i="9"/>
  <c r="O273" i="6"/>
  <c r="L271" i="6"/>
  <c r="O271" i="6" s="1"/>
  <c r="P41" i="12"/>
  <c r="P9" i="1"/>
  <c r="P26" i="4"/>
  <c r="M16" i="4"/>
  <c r="P16" i="4" s="1"/>
  <c r="O41" i="6"/>
  <c r="P12" i="11"/>
  <c r="M10" i="11"/>
  <c r="P10" i="11" s="1"/>
  <c r="O41" i="5"/>
  <c r="O11" i="5"/>
  <c r="L9" i="5"/>
  <c r="O29" i="9"/>
  <c r="L28" i="9"/>
  <c r="O28" i="9" s="1"/>
  <c r="N37" i="13"/>
  <c r="O41" i="14"/>
  <c r="O45" i="1"/>
  <c r="L22" i="1"/>
  <c r="L43" i="1"/>
  <c r="P41" i="6"/>
  <c r="M37" i="6"/>
  <c r="P96" i="12"/>
  <c r="M94" i="12"/>
  <c r="P94" i="12" s="1"/>
  <c r="P140" i="6"/>
  <c r="O140" i="6"/>
  <c r="N37" i="6"/>
  <c r="O222" i="3"/>
  <c r="L220" i="3"/>
  <c r="O220" i="3" s="1"/>
  <c r="L28" i="8"/>
  <c r="O28" i="8" s="1"/>
  <c r="O29" i="8"/>
  <c r="P49" i="1"/>
  <c r="M26" i="1"/>
  <c r="M20" i="1" s="1"/>
  <c r="M43" i="1"/>
  <c r="P20" i="13"/>
  <c r="M18" i="13"/>
  <c r="P18" i="13" s="1"/>
  <c r="P331" i="13"/>
  <c r="M329" i="13"/>
  <c r="P329" i="13" s="1"/>
  <c r="P12" i="5"/>
  <c r="P9" i="3"/>
  <c r="L9" i="7"/>
  <c r="O11" i="7"/>
  <c r="O57" i="1"/>
  <c r="L55" i="1"/>
  <c r="P26" i="12"/>
  <c r="M16" i="12"/>
  <c r="M20" i="12"/>
  <c r="P292" i="15"/>
  <c r="M290" i="15"/>
  <c r="P290" i="15" s="1"/>
  <c r="M16" i="15"/>
  <c r="P16" i="15" s="1"/>
  <c r="P26" i="15"/>
  <c r="P271" i="3"/>
  <c r="P290" i="2"/>
  <c r="O20" i="8"/>
  <c r="P26" i="14"/>
  <c r="M16" i="14"/>
  <c r="M20" i="14"/>
  <c r="P250" i="4"/>
  <c r="N250" i="1"/>
  <c r="O12" i="5"/>
  <c r="L10" i="5"/>
  <c r="O10" i="5" s="1"/>
  <c r="L28" i="4"/>
  <c r="O28" i="4" s="1"/>
  <c r="O29" i="4"/>
  <c r="M37" i="7"/>
  <c r="P37" i="7" s="1"/>
  <c r="P41" i="7"/>
  <c r="O29" i="15"/>
  <c r="L28" i="15"/>
  <c r="O28" i="15" s="1"/>
  <c r="P12" i="2"/>
  <c r="L636" i="10"/>
  <c r="O636" i="10" s="1"/>
  <c r="O638" i="10"/>
  <c r="N37" i="4"/>
  <c r="O9" i="10"/>
  <c r="P18" i="5"/>
  <c r="N37" i="15"/>
  <c r="P41" i="15"/>
  <c r="N37" i="3"/>
  <c r="P41" i="3"/>
  <c r="O638" i="9"/>
  <c r="L636" i="9"/>
  <c r="O636" i="9" s="1"/>
  <c r="P222" i="1"/>
  <c r="M37" i="9"/>
  <c r="P37" i="9" s="1"/>
  <c r="P41" i="9"/>
  <c r="O638" i="4"/>
  <c r="L636" i="4"/>
  <c r="O636" i="4" s="1"/>
  <c r="O312" i="5"/>
  <c r="L310" i="5"/>
  <c r="O310" i="5" s="1"/>
  <c r="P20" i="3"/>
  <c r="M18" i="3"/>
  <c r="P18" i="3" s="1"/>
  <c r="L28" i="5"/>
  <c r="O28" i="5" s="1"/>
  <c r="O29" i="5"/>
  <c r="O22" i="6"/>
  <c r="L12" i="6"/>
  <c r="L20" i="6"/>
  <c r="L28" i="13"/>
  <c r="O28" i="13" s="1"/>
  <c r="O29" i="13"/>
  <c r="O68" i="15"/>
  <c r="L66" i="15"/>
  <c r="O68" i="8"/>
  <c r="L66" i="8"/>
  <c r="O66" i="8" s="1"/>
  <c r="P26" i="10"/>
  <c r="M16" i="10"/>
  <c r="M20" i="10"/>
  <c r="P12" i="13"/>
  <c r="P53" i="15"/>
  <c r="P9" i="2"/>
  <c r="O9" i="2"/>
  <c r="L68" i="1"/>
  <c r="O68" i="1" s="1"/>
  <c r="M20" i="4"/>
  <c r="O22" i="7"/>
  <c r="L12" i="7"/>
  <c r="L20" i="7"/>
  <c r="O55" i="9"/>
  <c r="L53" i="9"/>
  <c r="O53" i="9" s="1"/>
  <c r="O68" i="12"/>
  <c r="L66" i="12"/>
  <c r="O66" i="12" s="1"/>
  <c r="O68" i="14"/>
  <c r="L66" i="14"/>
  <c r="O66" i="14" s="1"/>
  <c r="P9" i="14"/>
  <c r="O22" i="3"/>
  <c r="L12" i="3"/>
  <c r="L20" i="3"/>
  <c r="O22" i="10"/>
  <c r="L12" i="10"/>
  <c r="L20" i="10"/>
  <c r="L28" i="10"/>
  <c r="O28" i="10" s="1"/>
  <c r="O29" i="10"/>
  <c r="O638" i="14"/>
  <c r="L636" i="14"/>
  <c r="O636" i="14" s="1"/>
  <c r="P331" i="14"/>
  <c r="M329" i="14"/>
  <c r="L638" i="1"/>
  <c r="O640" i="1"/>
  <c r="O11" i="11"/>
  <c r="L9" i="11"/>
  <c r="L29" i="1"/>
  <c r="O31" i="1"/>
  <c r="L11" i="1"/>
  <c r="P12" i="6"/>
  <c r="M10" i="6"/>
  <c r="O9" i="6"/>
  <c r="O9" i="8"/>
  <c r="P12" i="3"/>
  <c r="M10" i="3"/>
  <c r="P329" i="2"/>
  <c r="O22" i="2"/>
  <c r="L12" i="2"/>
  <c r="L20" i="2"/>
  <c r="M140" i="1"/>
  <c r="P9" i="11"/>
  <c r="O41" i="10"/>
  <c r="L20" i="4"/>
  <c r="L12" i="4"/>
  <c r="O22" i="4"/>
  <c r="O9" i="9"/>
  <c r="P9" i="4"/>
  <c r="P53" i="3"/>
  <c r="M37" i="3"/>
  <c r="N220" i="1"/>
  <c r="P9" i="8"/>
  <c r="P12" i="12"/>
  <c r="P20" i="15"/>
  <c r="M18" i="15"/>
  <c r="P18" i="15" s="1"/>
  <c r="L28" i="6"/>
  <c r="O28" i="6" s="1"/>
  <c r="N290" i="1"/>
  <c r="P12" i="4"/>
  <c r="O96" i="7"/>
  <c r="L94" i="7"/>
  <c r="O94" i="7" s="1"/>
  <c r="O29" i="12"/>
  <c r="L28" i="12"/>
  <c r="O28" i="12" s="1"/>
  <c r="P20" i="8"/>
  <c r="O120" i="10"/>
  <c r="L118" i="10"/>
  <c r="O118" i="10" s="1"/>
  <c r="P20" i="11"/>
  <c r="O292" i="2"/>
  <c r="L292" i="1"/>
  <c r="O292" i="1" s="1"/>
  <c r="L290" i="2"/>
  <c r="P9" i="5"/>
  <c r="P273" i="1"/>
  <c r="P250" i="3"/>
  <c r="M250" i="1"/>
  <c r="P53" i="2"/>
  <c r="M37" i="2"/>
  <c r="P331" i="5"/>
  <c r="M329" i="5"/>
  <c r="P329" i="5" s="1"/>
  <c r="O638" i="7"/>
  <c r="L636" i="7"/>
  <c r="O636" i="7" s="1"/>
  <c r="O55" i="11"/>
  <c r="L53" i="11"/>
  <c r="L20" i="13"/>
  <c r="O22" i="13"/>
  <c r="L12" i="13"/>
  <c r="P55" i="1"/>
  <c r="M53" i="1"/>
  <c r="P53" i="1" s="1"/>
  <c r="L28" i="11"/>
  <c r="O28" i="11" s="1"/>
  <c r="O29" i="11"/>
  <c r="N37" i="12"/>
  <c r="O41" i="15"/>
  <c r="P43" i="10"/>
  <c r="M41" i="10"/>
  <c r="O638" i="3"/>
  <c r="L636" i="3"/>
  <c r="O636" i="3" s="1"/>
  <c r="L28" i="3"/>
  <c r="O28" i="3" s="1"/>
  <c r="O29" i="3"/>
  <c r="P9" i="12"/>
  <c r="O43" i="12"/>
  <c r="L41" i="12"/>
  <c r="O9" i="12"/>
  <c r="O30" i="2"/>
  <c r="L28" i="2"/>
  <c r="O28" i="2" s="1"/>
  <c r="P331" i="4"/>
  <c r="M329" i="4"/>
  <c r="P329" i="4" s="1"/>
  <c r="O638" i="6"/>
  <c r="L636" i="6"/>
  <c r="O636" i="6" s="1"/>
  <c r="O638" i="13"/>
  <c r="L636" i="13"/>
  <c r="O636" i="13" s="1"/>
  <c r="L220" i="2"/>
  <c r="O222" i="2"/>
  <c r="L222" i="1"/>
  <c r="O222" i="1" s="1"/>
  <c r="O96" i="2"/>
  <c r="L94" i="2"/>
  <c r="L96" i="1"/>
  <c r="O96" i="1" s="1"/>
  <c r="L16" i="1"/>
  <c r="O16" i="1" s="1"/>
  <c r="O26" i="1"/>
  <c r="O310" i="2"/>
  <c r="P53" i="11"/>
  <c r="M37" i="11"/>
  <c r="L636" i="12"/>
  <c r="O636" i="12" s="1"/>
  <c r="O638" i="12"/>
  <c r="O43" i="4"/>
  <c r="L41" i="4"/>
  <c r="L312" i="1"/>
  <c r="O312" i="1" s="1"/>
  <c r="P20" i="9"/>
  <c r="M18" i="9"/>
  <c r="P18" i="9" s="1"/>
  <c r="O292" i="9"/>
  <c r="L290" i="9"/>
  <c r="O290" i="9" s="1"/>
  <c r="P9" i="13"/>
  <c r="P12" i="15"/>
  <c r="P142" i="1"/>
  <c r="L273" i="1"/>
  <c r="O273" i="1" s="1"/>
  <c r="P9" i="10"/>
  <c r="P12" i="8"/>
  <c r="M10" i="8"/>
  <c r="P10" i="8" s="1"/>
  <c r="M12" i="1"/>
  <c r="P22" i="1"/>
  <c r="O252" i="2"/>
  <c r="L252" i="1"/>
  <c r="O252" i="1" s="1"/>
  <c r="L250" i="2"/>
  <c r="O68" i="6"/>
  <c r="L66" i="6"/>
  <c r="O66" i="6" s="1"/>
  <c r="N8" i="5"/>
  <c r="O29" i="7"/>
  <c r="L28" i="7"/>
  <c r="O28" i="7" s="1"/>
  <c r="O638" i="8"/>
  <c r="L636" i="8"/>
  <c r="O636" i="8" s="1"/>
  <c r="L20" i="11"/>
  <c r="L12" i="11"/>
  <c r="O22" i="11"/>
  <c r="O43" i="13"/>
  <c r="L41" i="13"/>
  <c r="M16" i="13"/>
  <c r="P16" i="13" s="1"/>
  <c r="P26" i="13"/>
  <c r="P9" i="15"/>
  <c r="O12" i="15"/>
  <c r="L10" i="15"/>
  <c r="O10" i="15" s="1"/>
  <c r="O20" i="5" l="1"/>
  <c r="O20" i="14"/>
  <c r="P20" i="2"/>
  <c r="P37" i="11"/>
  <c r="L8" i="8"/>
  <c r="O8" i="8" s="1"/>
  <c r="L10" i="9"/>
  <c r="O10" i="9" s="1"/>
  <c r="M10" i="15"/>
  <c r="P10" i="15" s="1"/>
  <c r="M10" i="5"/>
  <c r="P10" i="5" s="1"/>
  <c r="P37" i="8"/>
  <c r="P140" i="1"/>
  <c r="P66" i="1"/>
  <c r="L329" i="1"/>
  <c r="O329" i="1" s="1"/>
  <c r="P118" i="1"/>
  <c r="M10" i="2"/>
  <c r="P10" i="2" s="1"/>
  <c r="O20" i="9"/>
  <c r="P10" i="3"/>
  <c r="N8" i="1"/>
  <c r="L18" i="15"/>
  <c r="O18" i="15" s="1"/>
  <c r="N37" i="1"/>
  <c r="L37" i="9"/>
  <c r="O37" i="9" s="1"/>
  <c r="M37" i="12"/>
  <c r="P37" i="12" s="1"/>
  <c r="P37" i="3"/>
  <c r="M290" i="1"/>
  <c r="P290" i="1" s="1"/>
  <c r="L140" i="1"/>
  <c r="O140" i="1" s="1"/>
  <c r="L37" i="10"/>
  <c r="O37" i="10" s="1"/>
  <c r="M10" i="13"/>
  <c r="M310" i="1"/>
  <c r="P310" i="1" s="1"/>
  <c r="L37" i="8"/>
  <c r="O37" i="8" s="1"/>
  <c r="M37" i="5"/>
  <c r="P37" i="5" s="1"/>
  <c r="L271" i="1"/>
  <c r="O271" i="1" s="1"/>
  <c r="M8" i="8"/>
  <c r="P8" i="8" s="1"/>
  <c r="L8" i="15"/>
  <c r="O8" i="15" s="1"/>
  <c r="P20" i="1"/>
  <c r="M18" i="1"/>
  <c r="P18" i="1" s="1"/>
  <c r="M37" i="10"/>
  <c r="P37" i="10" s="1"/>
  <c r="P41" i="10"/>
  <c r="O20" i="7"/>
  <c r="L18" i="7"/>
  <c r="O18" i="7" s="1"/>
  <c r="O66" i="15"/>
  <c r="L37" i="15"/>
  <c r="O37" i="15" s="1"/>
  <c r="O9" i="7"/>
  <c r="P12" i="1"/>
  <c r="L37" i="7"/>
  <c r="O37" i="7" s="1"/>
  <c r="L310" i="1"/>
  <c r="O310" i="1" s="1"/>
  <c r="O20" i="13"/>
  <c r="L18" i="13"/>
  <c r="O18" i="13" s="1"/>
  <c r="M329" i="1"/>
  <c r="P329" i="1" s="1"/>
  <c r="O29" i="1"/>
  <c r="L28" i="1"/>
  <c r="O28" i="1" s="1"/>
  <c r="O12" i="3"/>
  <c r="L10" i="3"/>
  <c r="O10" i="3" s="1"/>
  <c r="P20" i="10"/>
  <c r="M18" i="10"/>
  <c r="P18" i="10" s="1"/>
  <c r="P20" i="14"/>
  <c r="M18" i="14"/>
  <c r="P18" i="14" s="1"/>
  <c r="P16" i="12"/>
  <c r="M10" i="12"/>
  <c r="M8" i="3"/>
  <c r="P8" i="3" s="1"/>
  <c r="O22" i="1"/>
  <c r="L12" i="1"/>
  <c r="L20" i="1"/>
  <c r="L118" i="1"/>
  <c r="O118" i="1" s="1"/>
  <c r="P94" i="4"/>
  <c r="M94" i="1"/>
  <c r="P94" i="1" s="1"/>
  <c r="M37" i="4"/>
  <c r="P37" i="4" s="1"/>
  <c r="P220" i="1"/>
  <c r="L10" i="13"/>
  <c r="O12" i="13"/>
  <c r="O12" i="6"/>
  <c r="L10" i="6"/>
  <c r="P26" i="1"/>
  <c r="M16" i="1"/>
  <c r="P16" i="1" s="1"/>
  <c r="O12" i="12"/>
  <c r="L10" i="12"/>
  <c r="O66" i="3"/>
  <c r="L66" i="1"/>
  <c r="O66" i="1" s="1"/>
  <c r="O20" i="11"/>
  <c r="L18" i="11"/>
  <c r="O18" i="11" s="1"/>
  <c r="O94" i="2"/>
  <c r="L94" i="1"/>
  <c r="O94" i="1" s="1"/>
  <c r="L37" i="2"/>
  <c r="O37" i="2" s="1"/>
  <c r="O20" i="3"/>
  <c r="L18" i="3"/>
  <c r="O18" i="3" s="1"/>
  <c r="L10" i="7"/>
  <c r="O10" i="7" s="1"/>
  <c r="O12" i="7"/>
  <c r="P20" i="12"/>
  <c r="M18" i="12"/>
  <c r="P18" i="12" s="1"/>
  <c r="O43" i="1"/>
  <c r="L41" i="1"/>
  <c r="P10" i="9"/>
  <c r="M8" i="9"/>
  <c r="P8" i="9" s="1"/>
  <c r="O41" i="13"/>
  <c r="L37" i="13"/>
  <c r="O37" i="13" s="1"/>
  <c r="O250" i="2"/>
  <c r="L250" i="1"/>
  <c r="O250" i="1" s="1"/>
  <c r="O41" i="4"/>
  <c r="L37" i="4"/>
  <c r="O37" i="4" s="1"/>
  <c r="O53" i="11"/>
  <c r="L37" i="11"/>
  <c r="O37" i="11" s="1"/>
  <c r="P37" i="2"/>
  <c r="M10" i="4"/>
  <c r="M8" i="11"/>
  <c r="P8" i="11" s="1"/>
  <c r="O9" i="11"/>
  <c r="O638" i="1"/>
  <c r="L636" i="1"/>
  <c r="O636" i="1" s="1"/>
  <c r="P20" i="4"/>
  <c r="M18" i="4"/>
  <c r="P18" i="4" s="1"/>
  <c r="P16" i="10"/>
  <c r="M10" i="10"/>
  <c r="P16" i="14"/>
  <c r="M10" i="14"/>
  <c r="L8" i="5"/>
  <c r="O8" i="5" s="1"/>
  <c r="O9" i="5"/>
  <c r="L37" i="6"/>
  <c r="O37" i="6" s="1"/>
  <c r="O10" i="14"/>
  <c r="L8" i="14"/>
  <c r="O8" i="14" s="1"/>
  <c r="P20" i="7"/>
  <c r="M18" i="7"/>
  <c r="P18" i="7" s="1"/>
  <c r="O12" i="2"/>
  <c r="L10" i="2"/>
  <c r="L9" i="1"/>
  <c r="O11" i="1"/>
  <c r="L37" i="12"/>
  <c r="O37" i="12" s="1"/>
  <c r="O41" i="12"/>
  <c r="L290" i="1"/>
  <c r="O290" i="1" s="1"/>
  <c r="O290" i="2"/>
  <c r="O12" i="4"/>
  <c r="L10" i="4"/>
  <c r="P10" i="6"/>
  <c r="M8" i="6"/>
  <c r="P8" i="6" s="1"/>
  <c r="P329" i="14"/>
  <c r="M37" i="14"/>
  <c r="P37" i="14" s="1"/>
  <c r="O20" i="10"/>
  <c r="L18" i="10"/>
  <c r="O18" i="10" s="1"/>
  <c r="M37" i="15"/>
  <c r="P37" i="15" s="1"/>
  <c r="O55" i="1"/>
  <c r="L53" i="1"/>
  <c r="O53" i="1" s="1"/>
  <c r="L37" i="14"/>
  <c r="O37" i="14" s="1"/>
  <c r="L37" i="3"/>
  <c r="O37" i="3" s="1"/>
  <c r="P16" i="7"/>
  <c r="M10" i="7"/>
  <c r="M37" i="13"/>
  <c r="P37" i="13" s="1"/>
  <c r="O12" i="11"/>
  <c r="L10" i="11"/>
  <c r="O10" i="11" s="1"/>
  <c r="L220" i="1"/>
  <c r="O220" i="1" s="1"/>
  <c r="O220" i="2"/>
  <c r="P250" i="1"/>
  <c r="O20" i="4"/>
  <c r="L18" i="4"/>
  <c r="O18" i="4" s="1"/>
  <c r="O20" i="2"/>
  <c r="L18" i="2"/>
  <c r="O18" i="2" s="1"/>
  <c r="L10" i="10"/>
  <c r="O12" i="10"/>
  <c r="O20" i="6"/>
  <c r="L18" i="6"/>
  <c r="O18" i="6" s="1"/>
  <c r="P43" i="1"/>
  <c r="M41" i="1"/>
  <c r="P37" i="6"/>
  <c r="L37" i="5"/>
  <c r="O37" i="5" s="1"/>
  <c r="O20" i="12"/>
  <c r="L18" i="12"/>
  <c r="O18" i="12" s="1"/>
  <c r="O9" i="3"/>
  <c r="L8" i="9" l="1"/>
  <c r="O8" i="9" s="1"/>
  <c r="M8" i="2"/>
  <c r="P8" i="2" s="1"/>
  <c r="M8" i="5"/>
  <c r="P8" i="5" s="1"/>
  <c r="M8" i="15"/>
  <c r="P8" i="15" s="1"/>
  <c r="L8" i="3"/>
  <c r="O8" i="3" s="1"/>
  <c r="L8" i="11"/>
  <c r="O8" i="11" s="1"/>
  <c r="P10" i="13"/>
  <c r="M8" i="13"/>
  <c r="P8" i="13" s="1"/>
  <c r="O10" i="10"/>
  <c r="L8" i="10"/>
  <c r="O8" i="10" s="1"/>
  <c r="P10" i="14"/>
  <c r="M8" i="14"/>
  <c r="P8" i="14" s="1"/>
  <c r="P41" i="1"/>
  <c r="M37" i="1"/>
  <c r="P37" i="1" s="1"/>
  <c r="O10" i="4"/>
  <c r="L8" i="4"/>
  <c r="O8" i="4" s="1"/>
  <c r="O10" i="6"/>
  <c r="L8" i="6"/>
  <c r="O8" i="6" s="1"/>
  <c r="M10" i="1"/>
  <c r="O10" i="2"/>
  <c r="L8" i="2"/>
  <c r="O8" i="2" s="1"/>
  <c r="P10" i="7"/>
  <c r="M8" i="7"/>
  <c r="P8" i="7" s="1"/>
  <c r="O9" i="1"/>
  <c r="P10" i="10"/>
  <c r="M8" i="10"/>
  <c r="P8" i="10" s="1"/>
  <c r="P10" i="12"/>
  <c r="M8" i="12"/>
  <c r="P8" i="12" s="1"/>
  <c r="L8" i="7"/>
  <c r="O8" i="7" s="1"/>
  <c r="O10" i="12"/>
  <c r="L8" i="12"/>
  <c r="O8" i="12" s="1"/>
  <c r="O10" i="13"/>
  <c r="L8" i="13"/>
  <c r="O8" i="13" s="1"/>
  <c r="O20" i="1"/>
  <c r="L18" i="1"/>
  <c r="O18" i="1" s="1"/>
  <c r="P10" i="4"/>
  <c r="M8" i="4"/>
  <c r="P8" i="4" s="1"/>
  <c r="L37" i="1"/>
  <c r="O37" i="1" s="1"/>
  <c r="O41" i="1"/>
  <c r="O12" i="1"/>
  <c r="L10" i="1"/>
  <c r="O10" i="1" s="1"/>
  <c r="L8" i="1" l="1"/>
  <c r="O8" i="1" s="1"/>
  <c r="P10" i="1"/>
  <c r="M8" i="1"/>
  <c r="P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32" authorId="0" shapeId="0" xr:uid="{00000000-0006-0000-0800-000001000000}">
      <text>
        <r>
          <rPr>
            <sz val="11"/>
            <color theme="1"/>
            <rFont val="Calibri"/>
            <scheme val="minor"/>
          </rPr>
          <t>หักงบลงทุนออก</t>
        </r>
      </text>
    </comment>
  </commentList>
</comments>
</file>

<file path=xl/sharedStrings.xml><?xml version="1.0" encoding="utf-8"?>
<sst xmlns="http://schemas.openxmlformats.org/spreadsheetml/2006/main" count="19740" uniqueCount="291">
  <si>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</si>
  <si>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</si>
  <si>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</si>
  <si>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</si>
  <si>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</si>
  <si>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</si>
  <si>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</si>
  <si>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</si>
  <si>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</si>
  <si>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</si>
  <si>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</si>
  <si>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</si>
  <si>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</si>
  <si>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</si>
  <si>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</si>
  <si>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</si>
  <si>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</si>
  <si>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</si>
  <si>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</si>
  <si>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</si>
  <si>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</si>
  <si>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</si>
  <si>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</si>
  <si>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</si>
  <si>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</si>
  <si>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</si>
  <si>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</si>
  <si>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</si>
  <si>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</si>
  <si>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</si>
  <si>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</si>
  <si>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</si>
  <si>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</si>
  <si>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</si>
  <si>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</si>
  <si>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</si>
  <si>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</si>
  <si>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</si>
  <si>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</si>
  <si>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</si>
  <si>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</si>
  <si>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</si>
  <si>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</si>
  <si>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</si>
  <si>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</si>
  <si>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</si>
  <si>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</si>
  <si>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</si>
  <si>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</si>
  <si>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</si>
  <si>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</si>
  <si>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</si>
  <si>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</si>
  <si>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</si>
  <si>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</si>
  <si>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</si>
  <si>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</si>
  <si>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</si>
  <si>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</si>
  <si>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</si>
  <si>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</si>
  <si>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</si>
  <si>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</si>
  <si>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</si>
  <si>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</si>
  <si>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</si>
  <si>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</si>
  <si>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</si>
  <si>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</si>
  <si>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</si>
  <si>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</si>
  <si>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</si>
  <si>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</si>
  <si>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</si>
  <si>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</si>
  <si>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</si>
  <si>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</si>
  <si>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</si>
  <si>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</si>
  <si>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</si>
  <si>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</si>
  <si>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</si>
  <si>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</si>
  <si>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</si>
  <si>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</si>
  <si>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</si>
  <si>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</si>
  <si>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</si>
  <si>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</si>
  <si>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</si>
  <si>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</si>
  <si>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</si>
  <si>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</si>
  <si>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</si>
  <si>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</si>
  <si>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</si>
  <si>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</si>
  <si>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</si>
  <si>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</si>
  <si>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</si>
  <si>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</si>
  <si>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</si>
  <si>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</si>
  <si>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</si>
  <si>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</si>
  <si>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</si>
  <si>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</si>
  <si>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</si>
  <si>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</si>
  <si>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</si>
  <si>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</si>
  <si>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</si>
  <si>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</si>
  <si>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</si>
  <si>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</si>
  <si>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</si>
  <si>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</si>
  <si>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</si>
  <si>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</si>
  <si>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</si>
  <si>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</si>
  <si>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</si>
  <si>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</si>
  <si>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</si>
  <si>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</si>
  <si>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</si>
  <si>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</si>
  <si>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</si>
  <si>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</si>
  <si>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</si>
  <si>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</si>
  <si>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</si>
  <si>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</si>
  <si>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</si>
  <si>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</si>
  <si>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</si>
  <si>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</si>
  <si>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</si>
  <si>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</si>
  <si>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</si>
  <si>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</si>
  <si>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</si>
  <si>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</si>
  <si>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</si>
  <si>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</si>
  <si>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</si>
  <si>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</si>
  <si>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</si>
  <si>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</si>
  <si>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</si>
  <si>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</si>
  <si>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</si>
  <si>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</si>
  <si>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</si>
  <si>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</si>
  <si>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</si>
  <si>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</si>
  <si>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</si>
  <si>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</si>
  <si>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</si>
  <si>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</si>
  <si>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</si>
  <si>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</si>
  <si>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</si>
  <si>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</si>
  <si>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</si>
  <si>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</si>
  <si>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</si>
  <si>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</si>
  <si>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</si>
  <si>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</si>
  <si>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</si>
  <si>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</si>
  <si>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</si>
  <si>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</si>
  <si>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</si>
  <si>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</si>
  <si>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</si>
  <si>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</si>
  <si>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</si>
  <si>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</si>
  <si>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</si>
  <si>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</si>
  <si>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</si>
  <si>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</si>
  <si>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</si>
  <si>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</si>
  <si>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</si>
  <si>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</si>
  <si>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</si>
  <si>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</si>
  <si>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</si>
  <si>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</si>
  <si>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</si>
  <si>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</si>
  <si>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</si>
  <si>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</si>
  <si>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</si>
  <si>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</si>
  <si>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</si>
  <si>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</si>
  <si>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</si>
  <si>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</si>
  <si>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</si>
  <si>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</si>
  <si>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</si>
  <si>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</si>
  <si>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</si>
  <si>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</si>
  <si>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</si>
  <si>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</si>
  <si>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</si>
  <si>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</si>
  <si>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</si>
  <si>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</si>
  <si>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</si>
  <si>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</si>
  <si>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</si>
  <si>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</si>
  <si>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</si>
  <si>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</si>
  <si>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</si>
  <si>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</si>
  <si>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</si>
  <si>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</si>
  <si>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</si>
  <si>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</si>
  <si>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</si>
  <si>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</si>
  <si>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</si>
  <si>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</si>
  <si>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</si>
  <si>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</si>
  <si>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</si>
  <si>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</si>
  <si>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</si>
  <si>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</si>
  <si>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</si>
  <si>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</si>
  <si>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</si>
  <si>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</si>
  <si>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</si>
  <si>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</si>
  <si>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</si>
  <si>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</si>
  <si>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</si>
  <si>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</si>
  <si>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</si>
  <si>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</si>
  <si>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</si>
  <si>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</si>
  <si>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</si>
  <si>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</si>
  <si>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</si>
  <si>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</si>
  <si>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</si>
  <si>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</si>
  <si>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</si>
  <si>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</si>
  <si>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</si>
  <si>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</si>
  <si>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</si>
  <si>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</si>
  <si>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</si>
  <si>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</si>
  <si>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</si>
  <si>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</si>
  <si>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</si>
  <si>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</si>
  <si>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</si>
  <si>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</si>
  <si>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</si>
  <si>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</si>
  <si>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</si>
  <si>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</si>
  <si>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</si>
  <si>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</si>
  <si>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</si>
  <si>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</si>
  <si>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</si>
  <si>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</si>
  <si>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</si>
  <si>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</si>
  <si>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</si>
  <si>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</si>
  <si>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</si>
  <si>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</si>
  <si>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</si>
  <si>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</si>
  <si>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</si>
  <si>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15 กรกฎาคม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</si>
</sst>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7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05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20" fillId="32" borderId="50" xfId="0" applyFont="1" applyFill="1" applyBorder="1" applyAlignment="1"/>
    <xf numFmtId="0" fontId="20" fillId="32" borderId="28" xfId="0" applyFont="1" applyFill="1" applyBorder="1" applyAlignment="1"/>
    <xf numFmtId="188" fontId="20" fillId="32" borderId="28" xfId="0" applyNumberFormat="1" applyFont="1" applyFill="1" applyBorder="1" applyAlignment="1"/>
    <xf numFmtId="188" fontId="21" fillId="32" borderId="28" xfId="0" applyNumberFormat="1" applyFont="1" applyFill="1" applyBorder="1" applyAlignment="1">
      <alignment horizontal="right"/>
    </xf>
    <xf numFmtId="191" fontId="20" fillId="32" borderId="28" xfId="0" applyNumberFormat="1" applyFont="1" applyFill="1" applyBorder="1" applyAlignment="1"/>
    <xf numFmtId="0" fontId="20" fillId="15" borderId="17" xfId="0" applyFont="1" applyFill="1" applyBorder="1" applyAlignment="1"/>
    <xf numFmtId="0" fontId="20" fillId="15" borderId="18" xfId="0" applyFont="1" applyFill="1" applyBorder="1" applyAlignment="1"/>
    <xf numFmtId="0" fontId="21" fillId="15" borderId="18" xfId="0" applyFont="1" applyFill="1" applyBorder="1" applyAlignment="1"/>
    <xf numFmtId="0" fontId="23" fillId="15" borderId="18" xfId="0" applyFont="1" applyFill="1" applyBorder="1" applyAlignment="1"/>
    <xf numFmtId="0" fontId="23" fillId="0" borderId="19" xfId="0" applyFont="1" applyBorder="1" applyAlignment="1">
      <alignment horizontal="center"/>
    </xf>
    <xf numFmtId="3" fontId="20" fillId="0" borderId="19" xfId="0" applyNumberFormat="1" applyFont="1" applyBorder="1" applyAlignment="1"/>
    <xf numFmtId="0" fontId="20" fillId="0" borderId="19" xfId="0" applyFont="1" applyBorder="1" applyAlignment="1"/>
    <xf numFmtId="188" fontId="20" fillId="0" borderId="19" xfId="0" applyNumberFormat="1" applyFont="1" applyBorder="1" applyAlignment="1"/>
    <xf numFmtId="188" fontId="21" fillId="15" borderId="19" xfId="0" applyNumberFormat="1" applyFont="1" applyFill="1" applyBorder="1" applyAlignment="1">
      <alignment horizontal="right"/>
    </xf>
    <xf numFmtId="191" fontId="20" fillId="0" borderId="19" xfId="0" applyNumberFormat="1" applyFont="1" applyBorder="1" applyAlignment="1"/>
    <xf numFmtId="188" fontId="23" fillId="15" borderId="19" xfId="0" applyNumberFormat="1" applyFont="1" applyFill="1" applyBorder="1" applyAlignment="1">
      <alignment horizontal="right"/>
    </xf>
    <xf numFmtId="0" fontId="20" fillId="15" borderId="19" xfId="0" applyFont="1" applyFill="1" applyBorder="1" applyAlignment="1"/>
    <xf numFmtId="188" fontId="20" fillId="15" borderId="19" xfId="0" applyNumberFormat="1" applyFont="1" applyFill="1" applyBorder="1" applyAlignment="1"/>
    <xf numFmtId="3" fontId="20" fillId="15" borderId="19" xfId="0" applyNumberFormat="1" applyFont="1" applyFill="1" applyBorder="1" applyAlignment="1"/>
    <xf numFmtId="0" fontId="20" fillId="0" borderId="17" xfId="0" applyFont="1" applyBorder="1" applyAlignment="1"/>
    <xf numFmtId="0" fontId="20" fillId="0" borderId="18" xfId="0" applyFont="1" applyBorder="1" applyAlignment="1"/>
    <xf numFmtId="0" fontId="23" fillId="23" borderId="18" xfId="0" applyFont="1" applyFill="1" applyBorder="1" applyAlignment="1">
      <alignment horizontal="right"/>
    </xf>
    <xf numFmtId="187" fontId="20" fillId="15" borderId="19" xfId="0" applyNumberFormat="1" applyFont="1" applyFill="1" applyBorder="1" applyAlignment="1"/>
    <xf numFmtId="189" fontId="23" fillId="4" borderId="19" xfId="0" applyNumberFormat="1" applyFont="1" applyFill="1" applyBorder="1" applyAlignment="1">
      <alignment horizontal="right" wrapText="1"/>
    </xf>
    <xf numFmtId="191" fontId="20" fillId="15" borderId="19" xfId="0" applyNumberFormat="1" applyFont="1" applyFill="1" applyBorder="1" applyAlignment="1"/>
    <xf numFmtId="0" fontId="23" fillId="10" borderId="18" xfId="0" applyFont="1" applyFill="1" applyBorder="1" applyAlignment="1">
      <alignment horizontal="right"/>
    </xf>
    <xf numFmtId="187" fontId="23" fillId="15" borderId="19" xfId="0" applyNumberFormat="1" applyFont="1" applyFill="1" applyBorder="1" applyAlignment="1">
      <alignment horizontal="right"/>
    </xf>
    <xf numFmtId="189" fontId="23" fillId="15" borderId="19" xfId="0" applyNumberFormat="1" applyFont="1" applyFill="1" applyBorder="1" applyAlignment="1">
      <alignment horizontal="right"/>
    </xf>
    <xf numFmtId="188" fontId="23" fillId="0" borderId="19" xfId="0" applyNumberFormat="1" applyFont="1" applyBorder="1" applyAlignment="1">
      <alignment horizontal="right"/>
    </xf>
    <xf numFmtId="191" fontId="23" fillId="6" borderId="19" xfId="0" applyNumberFormat="1" applyFont="1" applyFill="1" applyBorder="1" applyAlignment="1">
      <alignment horizontal="right"/>
    </xf>
    <xf numFmtId="187" fontId="20" fillId="0" borderId="19" xfId="0" applyNumberFormat="1" applyFont="1" applyBorder="1" applyAlignment="1"/>
    <xf numFmtId="189" fontId="20" fillId="0" borderId="19" xfId="0" applyNumberFormat="1" applyFont="1" applyBorder="1" applyAlignment="1"/>
    <xf numFmtId="0" fontId="20" fillId="0" borderId="43" xfId="0" applyFont="1" applyBorder="1" applyAlignment="1"/>
    <xf numFmtId="0" fontId="25" fillId="0" borderId="44" xfId="0" applyFont="1" applyBorder="1" applyAlignment="1"/>
    <xf numFmtId="0" fontId="20" fillId="0" borderId="44" xfId="0" applyFont="1" applyBorder="1" applyAlignment="1"/>
    <xf numFmtId="0" fontId="23" fillId="0" borderId="46" xfId="0" applyFont="1" applyBorder="1" applyAlignment="1">
      <alignment horizontal="center"/>
    </xf>
    <xf numFmtId="187" fontId="20" fillId="0" borderId="46" xfId="0" applyNumberFormat="1" applyFont="1" applyBorder="1" applyAlignment="1"/>
    <xf numFmtId="189" fontId="23" fillId="4" borderId="46" xfId="0" applyNumberFormat="1" applyFont="1" applyFill="1" applyBorder="1" applyAlignment="1">
      <alignment horizontal="right" wrapText="1"/>
    </xf>
    <xf numFmtId="188" fontId="20" fillId="0" borderId="46" xfId="0" applyNumberFormat="1" applyFont="1" applyBorder="1" applyAlignment="1"/>
    <xf numFmtId="191" fontId="20" fillId="0" borderId="46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2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/>
    </xf>
    <xf numFmtId="188" fontId="1" fillId="10" borderId="19" xfId="0" applyNumberFormat="1" applyFont="1" applyFill="1" applyBorder="1" applyAlignment="1">
      <alignment vertical="center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4" fillId="0" borderId="6" xfId="0" applyFont="1" applyBorder="1"/>
    <xf numFmtId="0" fontId="4" fillId="0" borderId="7" xfId="0" applyFont="1" applyBorder="1"/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23" fillId="15" borderId="18" xfId="0" applyFont="1" applyFill="1" applyBorder="1" applyAlignment="1"/>
    <xf numFmtId="0" fontId="21" fillId="32" borderId="51" xfId="0" applyFont="1" applyFill="1" applyBorder="1" applyAlignment="1"/>
    <xf numFmtId="0" fontId="4" fillId="0" borderId="51" xfId="0" applyFont="1" applyBorder="1"/>
    <xf numFmtId="0" fontId="22" fillId="15" borderId="18" xfId="0" applyFont="1" applyFill="1" applyBorder="1" applyAlignment="1"/>
    <xf numFmtId="0" fontId="24" fillId="22" borderId="18" xfId="0" applyFont="1" applyFill="1" applyBorder="1" applyAlignment="1"/>
    <xf numFmtId="0" fontId="23" fillId="23" borderId="18" xfId="0" applyFont="1" applyFill="1" applyBorder="1" applyAlignment="1"/>
    <xf numFmtId="0" fontId="23" fillId="10" borderId="18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sqref="A1:P1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1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63248689</v>
      </c>
      <c r="M8" s="23">
        <f t="shared" ca="1" si="0"/>
        <v>46513322.780000001</v>
      </c>
      <c r="N8" s="23">
        <f t="shared" ca="1" si="0"/>
        <v>43469586.092999995</v>
      </c>
      <c r="O8" s="22">
        <f t="shared" ref="O8:O16" ca="1" si="1">IF(L8&gt;0,N8*100/L8,0)</f>
        <v>68.728042873742396</v>
      </c>
      <c r="P8" s="22">
        <f t="shared" ref="P8:P16" ca="1" si="2">IF(M8&gt;0,N8*100/M8,0)</f>
        <v>93.456204577350107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63248689</v>
      </c>
      <c r="M10" s="30">
        <f t="shared" ca="1" si="4"/>
        <v>46513322.780000001</v>
      </c>
      <c r="N10" s="30">
        <f t="shared" ca="1" si="4"/>
        <v>43469586.092999995</v>
      </c>
      <c r="O10" s="29">
        <f t="shared" ca="1" si="1"/>
        <v>68.728042873742396</v>
      </c>
      <c r="P10" s="29">
        <f t="shared" ca="1" si="2"/>
        <v>93.456204577350107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52616419</v>
      </c>
      <c r="M12" s="38">
        <f t="shared" ca="1" si="6"/>
        <v>36888052.780000001</v>
      </c>
      <c r="N12" s="38">
        <f t="shared" ca="1" si="6"/>
        <v>38725816.092999995</v>
      </c>
      <c r="O12" s="38">
        <f t="shared" ca="1" si="1"/>
        <v>73.600250319201677</v>
      </c>
      <c r="P12" s="38">
        <f t="shared" ca="1" si="2"/>
        <v>104.98200141915973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23850900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28765519</v>
      </c>
      <c r="M14" s="38">
        <f t="shared" si="8"/>
        <v>0</v>
      </c>
      <c r="N14" s="38">
        <f t="shared" ca="1" si="8"/>
        <v>11143424.052999999</v>
      </c>
      <c r="O14" s="41">
        <f t="shared" ca="1" si="1"/>
        <v>38.738824955670012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10632270</v>
      </c>
      <c r="M16" s="38">
        <f t="shared" ca="1" si="10"/>
        <v>9625270</v>
      </c>
      <c r="N16" s="38">
        <f t="shared" ca="1" si="10"/>
        <v>4743770</v>
      </c>
      <c r="O16" s="50">
        <f t="shared" ca="1" si="1"/>
        <v>44.616718725164056</v>
      </c>
      <c r="P16" s="50">
        <f t="shared" ca="1" si="2"/>
        <v>49.284539550578842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44861595</v>
      </c>
      <c r="M18" s="23">
        <f t="shared" ca="1" si="11"/>
        <v>46513322.780000001</v>
      </c>
      <c r="N18" s="23">
        <f t="shared" ca="1" si="11"/>
        <v>31319162.039999999</v>
      </c>
      <c r="O18" s="22">
        <f t="shared" ref="O18:O26" ca="1" si="12">IF(L18&gt;0,N18*100/L18,0)</f>
        <v>69.812858949843402</v>
      </c>
      <c r="P18" s="22">
        <f t="shared" ref="P18:P26" ca="1" si="13">IF(M18&gt;0,N18*100/M18,0)</f>
        <v>67.333744759827709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44861595</v>
      </c>
      <c r="M20" s="30">
        <f t="shared" ca="1" si="15"/>
        <v>46513322.780000001</v>
      </c>
      <c r="N20" s="30">
        <f t="shared" ca="1" si="15"/>
        <v>31319162.039999999</v>
      </c>
      <c r="O20" s="29">
        <f t="shared" ca="1" si="12"/>
        <v>69.812858949843402</v>
      </c>
      <c r="P20" s="29">
        <f t="shared" ca="1" si="13"/>
        <v>67.333744759827709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35236325</v>
      </c>
      <c r="M22" s="42">
        <f t="shared" ca="1" si="17"/>
        <v>36888052.780000001</v>
      </c>
      <c r="N22" s="41">
        <f t="shared" ca="1" si="17"/>
        <v>27582392.039999999</v>
      </c>
      <c r="O22" s="41">
        <f t="shared" ca="1" si="12"/>
        <v>78.278288215357307</v>
      </c>
      <c r="P22" s="41">
        <f t="shared" ca="1" si="13"/>
        <v>74.773239467263636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23850900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11385425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9625270</v>
      </c>
      <c r="M26" s="50">
        <f t="shared" ca="1" si="21"/>
        <v>9625270</v>
      </c>
      <c r="N26" s="50">
        <f t="shared" ca="1" si="21"/>
        <v>3736770</v>
      </c>
      <c r="O26" s="50">
        <f t="shared" ca="1" si="12"/>
        <v>38.822495368961079</v>
      </c>
      <c r="P26" s="50">
        <f t="shared" ca="1" si="13"/>
        <v>38.822495368961079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2">L29+L30</f>
        <v>18387094</v>
      </c>
      <c r="M28" s="23">
        <f t="shared" si="22"/>
        <v>0</v>
      </c>
      <c r="N28" s="23">
        <f t="shared" ca="1" si="22"/>
        <v>12150424.052999999</v>
      </c>
      <c r="O28" s="22">
        <f t="shared" ref="O28:O30" ca="1" si="23">IF(L28&gt;0,N28*100/L28,0)</f>
        <v>66.081263591734498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18387094</v>
      </c>
      <c r="M30" s="30">
        <f t="shared" si="26"/>
        <v>0</v>
      </c>
      <c r="N30" s="30">
        <f t="shared" ca="1" si="26"/>
        <v>12150424.052999999</v>
      </c>
      <c r="O30" s="29">
        <f t="shared" ca="1" si="23"/>
        <v>66.081263591734498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L352+L383+L404+L437+L457+L535+L553+L566+L582+L599-103000-904000</f>
        <v>17380094</v>
      </c>
      <c r="M32" s="41">
        <f>M352+M383+M404+M437+M457+M535+M553+M566+M582+M599</f>
        <v>0</v>
      </c>
      <c r="N32" s="41">
        <f ca="1">(N352+N383+N404+N437+N457+N535+N553+N566+N582+N599)-103000-904000</f>
        <v>11143424.052999999</v>
      </c>
      <c r="O32" s="41">
        <f t="shared" ca="1" si="28"/>
        <v>64.116017168836947</v>
      </c>
      <c r="P32" s="41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29">L353+L384+L405+L438+L458+L536+L554+L567+L583+L600</f>
        <v>0</v>
      </c>
      <c r="M33" s="41">
        <f t="shared" si="29"/>
        <v>0</v>
      </c>
      <c r="N33" s="41">
        <f t="shared" ca="1" si="29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0">L354+L385+L406+L439+L459+L537+L555+L568+L584+L601</f>
        <v>17380094</v>
      </c>
      <c r="M34" s="41">
        <f t="shared" si="30"/>
        <v>0</v>
      </c>
      <c r="N34" s="41">
        <f t="shared" ca="1" si="30"/>
        <v>11143424.052999999</v>
      </c>
      <c r="O34" s="41">
        <f t="shared" ca="1" si="28"/>
        <v>64.116017168836947</v>
      </c>
      <c r="P34" s="41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f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1007000</v>
      </c>
      <c r="M36" s="52">
        <v>0</v>
      </c>
      <c r="N36" s="52">
        <f>กระบี่!N36+ชุมพร!N36+ตรัง!N36+นครศรีธรรมราช!N36+นราธิวาส!N36+ปัตตานี!N36+พังงา!N36+พัทลุง!N36+ภูเก็ต!N36+ยะลา!N36+ระนอง!N36+สงขลา!N36+สตูล!N36+สุราษฎร์ธานี!N36</f>
        <v>1007000</v>
      </c>
      <c r="O36" s="50">
        <f t="shared" si="28"/>
        <v>100</v>
      </c>
      <c r="P36" s="50">
        <f t="shared" si="24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1">L41+L53+L66+L94+L118+L140+L220+L250+L271+L290+L310+L329</f>
        <v>44861595</v>
      </c>
      <c r="M37" s="55">
        <f t="shared" ca="1" si="31"/>
        <v>46513322.780000001</v>
      </c>
      <c r="N37" s="55">
        <f t="shared" ca="1" si="31"/>
        <v>31319162.039999999</v>
      </c>
      <c r="O37" s="56">
        <f t="shared" ca="1" si="28"/>
        <v>69.812858949843402</v>
      </c>
      <c r="P37" s="56">
        <f t="shared" ca="1" si="24"/>
        <v>67.333744759827709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2">L42+L43</f>
        <v>10383600</v>
      </c>
      <c r="M41" s="79">
        <f t="shared" ca="1" si="32"/>
        <v>10462600</v>
      </c>
      <c r="N41" s="79">
        <f t="shared" ca="1" si="32"/>
        <v>8610225.879999999</v>
      </c>
      <c r="O41" s="78">
        <f t="shared" ref="O41:O43" ca="1" si="33">IF(L41&gt;0,N41*100/L41,0)</f>
        <v>82.921394121499276</v>
      </c>
      <c r="P41" s="78">
        <f t="shared" ref="P41:P43" ca="1" si="34">IF(M41&gt;0,N41*100/M41,0)</f>
        <v>82.295279184906221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5">L44+L48</f>
        <v>0</v>
      </c>
      <c r="M42" s="79">
        <f t="shared" si="35"/>
        <v>0</v>
      </c>
      <c r="N42" s="79">
        <f t="shared" si="35"/>
        <v>0</v>
      </c>
      <c r="O42" s="78">
        <f t="shared" si="33"/>
        <v>0</v>
      </c>
      <c r="P42" s="78">
        <f t="shared" si="34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6">L45+L49</f>
        <v>10383600</v>
      </c>
      <c r="M43" s="79">
        <f t="shared" ca="1" si="36"/>
        <v>10462600</v>
      </c>
      <c r="N43" s="79">
        <f t="shared" ca="1" si="36"/>
        <v>8610225.879999999</v>
      </c>
      <c r="O43" s="78">
        <f t="shared" ca="1" si="33"/>
        <v>82.921394121499276</v>
      </c>
      <c r="P43" s="78">
        <f t="shared" ca="1" si="34"/>
        <v>82.295279184906221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8853300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6939425.879999999</v>
      </c>
      <c r="O45" s="92">
        <f ca="1">IF(L45&gt;0,N45*100/L45,0)</f>
        <v>79.088085431316443</v>
      </c>
      <c r="P45" s="92">
        <f ca="1">IF(M45&gt;0,N45*100/M45,0)</f>
        <v>78.382364542035162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1609300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1609300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1670800</v>
      </c>
      <c r="O49" s="101">
        <f ca="1">IF(L49&gt;0,N49*100/L49,0)</f>
        <v>103.82153731436028</v>
      </c>
      <c r="P49" s="101">
        <f ca="1">IF(M49&gt;0,N49*100/M49,0)</f>
        <v>103.82153731436028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7">L54+L55</f>
        <v>5554200</v>
      </c>
      <c r="M53" s="125">
        <f t="shared" ca="1" si="37"/>
        <v>5863374.7799999993</v>
      </c>
      <c r="N53" s="125">
        <f t="shared" ca="1" si="37"/>
        <v>5078644.0999999996</v>
      </c>
      <c r="O53" s="124">
        <f t="shared" ref="O53:O55" ca="1" si="38">IF(L53&gt;0,N53*100/L53,0)</f>
        <v>91.437904648734275</v>
      </c>
      <c r="P53" s="124">
        <f t="shared" ref="P53:P55" ca="1" si="39">IF(M53&gt;0,N53*100/M53,0)</f>
        <v>86.616399097040158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0">L56+L60</f>
        <v>0</v>
      </c>
      <c r="M54" s="125">
        <f t="shared" si="40"/>
        <v>0</v>
      </c>
      <c r="N54" s="125">
        <f t="shared" si="40"/>
        <v>0</v>
      </c>
      <c r="O54" s="124">
        <f t="shared" si="38"/>
        <v>0</v>
      </c>
      <c r="P54" s="124">
        <f t="shared" si="39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1">L57+L61</f>
        <v>5554200</v>
      </c>
      <c r="M55" s="125">
        <f t="shared" ca="1" si="41"/>
        <v>5863374.7799999993</v>
      </c>
      <c r="N55" s="125">
        <f t="shared" ca="1" si="41"/>
        <v>5078644.0999999996</v>
      </c>
      <c r="O55" s="124">
        <f t="shared" ca="1" si="38"/>
        <v>91.437904648734275</v>
      </c>
      <c r="P55" s="124">
        <f t="shared" ca="1" si="39"/>
        <v>86.616399097040158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5863374.7799999993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5078644.0999999996</v>
      </c>
      <c r="O57" s="92">
        <f ca="1">IF(L57&gt;0,N57*100/L57,0)</f>
        <v>91.437904648734275</v>
      </c>
      <c r="P57" s="92">
        <f ca="1">IF(M57&gt;0,N57*100/M57,0)</f>
        <v>86.616399097040158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2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2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2141840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1622332.08</v>
      </c>
      <c r="O66" s="155">
        <f t="shared" ref="O66:O68" ca="1" si="43">IF(L66&gt;0,N66*100/L66,0)</f>
        <v>79.014810052600822</v>
      </c>
      <c r="P66" s="155">
        <f t="shared" ref="P66:P68" ca="1" si="44">IF(M66&gt;0,N66*100/M66,0)</f>
        <v>75.744783924102634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3"/>
        <v>0</v>
      </c>
      <c r="P67" s="160">
        <f t="shared" si="44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2141840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1622332.08</v>
      </c>
      <c r="O68" s="160">
        <f t="shared" ca="1" si="43"/>
        <v>79.014810052600822</v>
      </c>
      <c r="P68" s="160">
        <f t="shared" ca="1" si="44"/>
        <v>75.744783924102634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8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8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3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2141840</v>
      </c>
      <c r="N70" s="174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1622332.08</v>
      </c>
      <c r="O70" s="175">
        <f ca="1">IF(L70&gt;0,N70*100/L70,0)</f>
        <v>79.014810052600822</v>
      </c>
      <c r="P70" s="175">
        <f ca="1">IF(M70&gt;0,N70*100/M70,0)</f>
        <v>75.744783924102634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7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8">
        <f t="shared" ref="K80:K88" ca="1" si="45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7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8">
        <f t="shared" ca="1" si="45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0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7">
        <f t="shared" ca="1" si="45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0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7">
        <f t="shared" ca="1" si="45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5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7">
        <f t="shared" ca="1" si="45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5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7">
        <f t="shared" ca="1" si="45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0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7">
        <f t="shared" ca="1" si="45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0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7">
        <f t="shared" ca="1" si="45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4</v>
      </c>
      <c r="J88" s="210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1</v>
      </c>
      <c r="K88" s="167">
        <f t="shared" ca="1" si="45"/>
        <v>25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23</v>
      </c>
      <c r="K92" s="147">
        <f t="shared" ref="K92:K93" ca="1" si="46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7">
        <f t="shared" ca="1" si="46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1177800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851905.16</v>
      </c>
      <c r="O94" s="155">
        <f t="shared" ref="O94:O96" ca="1" si="47">IF(L94&gt;0,N94*100/L94,0)</f>
        <v>72.330205467821358</v>
      </c>
      <c r="P94" s="155">
        <f t="shared" ref="P94:P96" ca="1" si="48">IF(M94&gt;0,N94*100/M94,0)</f>
        <v>72.330205467821358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7"/>
        <v>0</v>
      </c>
      <c r="P95" s="160">
        <f t="shared" si="48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1177800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851905.16</v>
      </c>
      <c r="O96" s="160">
        <f t="shared" ca="1" si="47"/>
        <v>72.330205467821358</v>
      </c>
      <c r="P96" s="160">
        <f t="shared" ca="1" si="48"/>
        <v>72.330205467821358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8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8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3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623400</v>
      </c>
      <c r="N98" s="174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297505.16000000003</v>
      </c>
      <c r="O98" s="175">
        <f ca="1">IF(L98&gt;0,N98*100/L98,0)</f>
        <v>47.722996470965676</v>
      </c>
      <c r="P98" s="175">
        <f ca="1">IF(M98&gt;0,N98*100/M98,0)</f>
        <v>47.722996470965676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0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0">
        <f t="shared" ref="K108:K113" ca="1" si="49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0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23</v>
      </c>
      <c r="K109" s="230">
        <f t="shared" ca="1" si="49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0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0">
        <f t="shared" ca="1" si="49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0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23</v>
      </c>
      <c r="K111" s="230">
        <f t="shared" ca="1" si="49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0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23</v>
      </c>
      <c r="K112" s="230">
        <f t="shared" ca="1" si="49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0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0">
        <f t="shared" ca="1" si="49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324450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369318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272036.33999999997</v>
      </c>
      <c r="O118" s="155">
        <f t="shared" ref="O118:O120" ca="1" si="50">IF(L118&gt;0,N118*100/L118,0)</f>
        <v>83.845381414701791</v>
      </c>
      <c r="P118" s="155">
        <f t="shared" ref="P118:P120" ca="1" si="51">IF(M118&gt;0,N118*100/M118,0)</f>
        <v>73.659106786021795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0"/>
        <v>0</v>
      </c>
      <c r="P119" s="160">
        <f t="shared" si="51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324450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369318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272036.33999999997</v>
      </c>
      <c r="O120" s="160">
        <f t="shared" ca="1" si="50"/>
        <v>83.845381414701791</v>
      </c>
      <c r="P120" s="160">
        <f t="shared" ca="1" si="51"/>
        <v>73.659106786021795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8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8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324450</v>
      </c>
      <c r="M122" s="173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369318</v>
      </c>
      <c r="N122" s="174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272036.33999999997</v>
      </c>
      <c r="O122" s="175">
        <f ca="1">IF(L122&gt;0,N122*100/L122,0)</f>
        <v>83.845381414701791</v>
      </c>
      <c r="P122" s="175">
        <f ca="1">IF(M122&gt;0,N122*100/M122,0)</f>
        <v>73.659106786021795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324450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68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0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0">
        <f t="shared" ref="K132:K133" ca="1" si="52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0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75</v>
      </c>
      <c r="K133" s="230">
        <f t="shared" ca="1" si="52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3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162</v>
      </c>
      <c r="K138" s="274">
        <f ca="1">IF(I138&gt;0,J138*100/I138,0)</f>
        <v>101.25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2418600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2571845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1940587.49</v>
      </c>
      <c r="O140" s="155">
        <f t="shared" ref="O140:O142" ca="1" si="53">IF(L140&gt;0,N140*100/L140,0)</f>
        <v>80.23598321342925</v>
      </c>
      <c r="P140" s="155">
        <f t="shared" ref="P140:P142" ca="1" si="54">IF(M140&gt;0,N140*100/M140,0)</f>
        <v>75.455071748103009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3"/>
        <v>0</v>
      </c>
      <c r="P141" s="160">
        <f t="shared" si="54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2418600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2571845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1940587.49</v>
      </c>
      <c r="O142" s="160">
        <f t="shared" ca="1" si="53"/>
        <v>80.23598321342925</v>
      </c>
      <c r="P142" s="160">
        <f t="shared" ca="1" si="54"/>
        <v>75.455071748103009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8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8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2418600</v>
      </c>
      <c r="M144" s="173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2571845</v>
      </c>
      <c r="N144" s="174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1940587.49</v>
      </c>
      <c r="O144" s="175">
        <f ca="1">IF(L144&gt;0,N144*100/L144,0)</f>
        <v>80.23598321342925</v>
      </c>
      <c r="P144" s="175">
        <f ca="1">IF(M144&gt;0,N144*100/M144,0)</f>
        <v>75.455071748103009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1307100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1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38</v>
      </c>
      <c r="K149" s="282">
        <f ca="1">IF(I149&gt;0,J149*100/I149,0)</f>
        <v>67.857142857142861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5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38</v>
      </c>
      <c r="K158" s="167">
        <f ca="1">IF(I158&gt;0,J158*100/I158,0)</f>
        <v>67.857142857142861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1226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1221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5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35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4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14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4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4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5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35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4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6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10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3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3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0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8</v>
      </c>
      <c r="K185" s="230">
        <f t="shared" ref="K185:K186" ca="1" si="55">IF(I185&gt;0,J185*100/I185,0)</f>
        <v>80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0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10</v>
      </c>
      <c r="K186" s="230">
        <f t="shared" ca="1" si="55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68400</v>
      </c>
      <c r="K189" s="291">
        <f ca="1">IF(I189&gt;0,J189*100/I189,0)</f>
        <v>28.619246861924687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2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12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11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11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5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128400</v>
      </c>
      <c r="K199" s="167">
        <f t="shared" ref="K199:K201" ca="1" si="56">IF(I199&gt;0,J199*100/I199,0)</f>
        <v>53.72384937238494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5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68400</v>
      </c>
      <c r="K200" s="167">
        <f t="shared" ca="1" si="56"/>
        <v>28.619246861924687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5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7">
        <f t="shared" ca="1" si="56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0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0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0">
        <f t="shared" ref="K215:K216" ca="1" si="57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0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6</v>
      </c>
      <c r="K216" s="230">
        <f t="shared" ca="1" si="57"/>
        <v>100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3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269135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269135</v>
      </c>
      <c r="O220" s="155">
        <f t="shared" ref="O220:O222" ca="1" si="58">IF(L220&gt;0,N220*100/L220,0)</f>
        <v>100</v>
      </c>
      <c r="P220" s="155">
        <f t="shared" ref="P220:P222" ca="1" si="59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8"/>
        <v>0</v>
      </c>
      <c r="P221" s="160">
        <f t="shared" si="59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269135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269135</v>
      </c>
      <c r="O222" s="160">
        <f t="shared" ca="1" si="58"/>
        <v>100</v>
      </c>
      <c r="P222" s="160">
        <f t="shared" ca="1" si="59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8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8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3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269135</v>
      </c>
      <c r="N224" s="174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269135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3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5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3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2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4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435200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266841.59999999998</v>
      </c>
      <c r="O250" s="155">
        <f t="shared" ref="O250:O252" ca="1" si="60">IF(L250&gt;0,N250*100/L250,0)</f>
        <v>61.314705882352932</v>
      </c>
      <c r="P250" s="155">
        <f t="shared" ref="P250:P252" ca="1" si="61">IF(M250&gt;0,N250*100/M250,0)</f>
        <v>61.314705882352932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0"/>
        <v>0</v>
      </c>
      <c r="P251" s="160">
        <f t="shared" si="61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435200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266841.59999999998</v>
      </c>
      <c r="O252" s="160">
        <f t="shared" ca="1" si="60"/>
        <v>61.314705882352932</v>
      </c>
      <c r="P252" s="160">
        <f t="shared" ca="1" si="61"/>
        <v>61.314705882352932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8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8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3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435200</v>
      </c>
      <c r="N254" s="174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266841.59999999998</v>
      </c>
      <c r="O254" s="175">
        <f ca="1">IF(L254&gt;0,N254*100/L254,0)</f>
        <v>61.314705882352932</v>
      </c>
      <c r="P254" s="175">
        <f ca="1">IF(M254&gt;0,N254*100/M254,0)</f>
        <v>61.314705882352932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5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3</v>
      </c>
      <c r="K264" s="167">
        <f ca="1">IF(I264&gt;0,J264*100/I264,0)</f>
        <v>75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5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7">
        <f ca="1">IF(I265&gt;0,J265*100/I265,0)</f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5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167">
        <f ca="1">IF(I266&gt;0,J266*100/I266,0)</f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5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3</v>
      </c>
      <c r="K267" s="167">
        <f ca="1">IF(I267&gt;0,J267*100/I267,0)</f>
        <v>75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1192800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788028.54</v>
      </c>
      <c r="O271" s="155">
        <f t="shared" ref="O271:O273" ca="1" si="62">IF(L271&gt;0,N271*100/L271,0)</f>
        <v>66.065437625754527</v>
      </c>
      <c r="P271" s="155">
        <f t="shared" ref="P271:P273" ca="1" si="63">IF(M271&gt;0,N271*100/M271,0)</f>
        <v>66.065437625754527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2"/>
        <v>0</v>
      </c>
      <c r="P272" s="160">
        <f t="shared" si="63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1192800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788028.54</v>
      </c>
      <c r="O273" s="160">
        <f t="shared" ca="1" si="62"/>
        <v>66.065437625754527</v>
      </c>
      <c r="P273" s="160">
        <f t="shared" ca="1" si="63"/>
        <v>66.065437625754527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8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8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3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1192800</v>
      </c>
      <c r="N275" s="174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788028.54</v>
      </c>
      <c r="O275" s="175">
        <f ca="1">IF(L275&gt;0,N275*100/L275,0)</f>
        <v>66.065437625754527</v>
      </c>
      <c r="P275" s="175">
        <f ca="1">IF(M275&gt;0,N275*100/M275,0)</f>
        <v>66.065437625754527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5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927180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927180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815112</v>
      </c>
      <c r="O290" s="155">
        <f t="shared" ref="O290:O292" ca="1" si="64">IF(L290&gt;0,N290*100/L290,0)</f>
        <v>87.913026596777328</v>
      </c>
      <c r="P290" s="155">
        <f t="shared" ref="P290:P292" ca="1" si="65">IF(M290&gt;0,N290*100/M290,0)</f>
        <v>87.913026596777328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4"/>
        <v>0</v>
      </c>
      <c r="P291" s="160">
        <f t="shared" si="65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927180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927180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815112</v>
      </c>
      <c r="O292" s="160">
        <f t="shared" ca="1" si="64"/>
        <v>87.913026596777328</v>
      </c>
      <c r="P292" s="160">
        <f t="shared" ca="1" si="65"/>
        <v>87.913026596777328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8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8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3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445180</v>
      </c>
      <c r="N294" s="174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333112</v>
      </c>
      <c r="O294" s="175">
        <f ca="1">IF(L294&gt;0,N294*100/L294,0)</f>
        <v>74.826362370277195</v>
      </c>
      <c r="P294" s="175">
        <f ca="1">IF(M294&gt;0,N294*100/M294,0)</f>
        <v>74.826362370277195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482000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482000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0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0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60</v>
      </c>
      <c r="K306" s="230">
        <f ca="1">IF(I306&gt;0,J306*100/I306,0)</f>
        <v>48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IFERROR(__xludf.DUMMYFUNCTION("IMPORTRANGE(""https://docs.google.com/spreadsheets/d/1SX6NBoVAgQJ6U1MVXOaj8PK2l7WJ3RER9xtqwdhxkhw/edit?usp=sharing"",""กาญจนบุรี!J212"")"),0)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7227400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952778.42999999993</v>
      </c>
      <c r="O310" s="155">
        <f t="shared" ref="O310:O312" ca="1" si="66">IF(L310&gt;0,N310*100/L310,0)</f>
        <v>13.765689455890426</v>
      </c>
      <c r="P310" s="155">
        <f t="shared" ref="P310:P312" ca="1" si="67">IF(M310&gt;0,N310*100/M310,0)</f>
        <v>13.182865622492182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6"/>
        <v>0</v>
      </c>
      <c r="P311" s="160">
        <f t="shared" si="67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7227400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952778.42999999993</v>
      </c>
      <c r="O312" s="160">
        <f t="shared" ca="1" si="66"/>
        <v>13.765689455890426</v>
      </c>
      <c r="P312" s="160">
        <f t="shared" ca="1" si="67"/>
        <v>13.182865622492182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8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8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3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1277400</v>
      </c>
      <c r="N314" s="174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952778.42999999993</v>
      </c>
      <c r="O314" s="175">
        <f ca="1">IF(L314&gt;0,N314*100/L314,0)</f>
        <v>98.083017294626316</v>
      </c>
      <c r="P314" s="175">
        <f ca="1">IF(M314&gt;0,N314*100/M314,0)</f>
        <v>74.587320338186942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5950000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0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3403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2628</v>
      </c>
      <c r="K328" s="323">
        <f ca="1">IF(I328&gt;0,J328*100/I328,0)</f>
        <v>77.225977079047894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13204030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13874830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9851535.4199999999</v>
      </c>
      <c r="O329" s="155">
        <f t="shared" ref="O329:O331" ca="1" si="68">IF(L329&gt;0,N329*100/L329,0)</f>
        <v>74.610065411847742</v>
      </c>
      <c r="P329" s="155">
        <f t="shared" ref="P329:P331" ca="1" si="69">IF(M329&gt;0,N329*100/M329,0)</f>
        <v>71.002927026853669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8"/>
        <v>0</v>
      </c>
      <c r="P330" s="160">
        <f t="shared" si="6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13204030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13874830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9851535.4199999999</v>
      </c>
      <c r="O331" s="160">
        <f t="shared" ca="1" si="68"/>
        <v>74.610065411847742</v>
      </c>
      <c r="P331" s="160">
        <f t="shared" ca="1" si="69"/>
        <v>71.002927026853669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8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12174460</v>
      </c>
      <c r="M333" s="173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12845260</v>
      </c>
      <c r="N333" s="174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8821965.4199999999</v>
      </c>
      <c r="O333" s="175">
        <f ca="1">IF(L333&gt;0,N333*100/L333,0)</f>
        <v>72.462888867350173</v>
      </c>
      <c r="P333" s="175">
        <f ca="1">IF(M333&gt;0,N333*100/M333,0)</f>
        <v>68.678761037145222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5244760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1029570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1029570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4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3020</v>
      </c>
      <c r="K339" s="348">
        <f t="shared" ref="K339:K346" ca="1" si="70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25184</v>
      </c>
      <c r="J340" s="194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25871.379999999997</v>
      </c>
      <c r="K340" s="348">
        <f t="shared" ca="1" si="70"/>
        <v>102.72943138500634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3403</v>
      </c>
      <c r="J341" s="194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3952</v>
      </c>
      <c r="K341" s="348">
        <f t="shared" ca="1" si="70"/>
        <v>116.1328239788422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4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39966.58</v>
      </c>
      <c r="K342" s="348">
        <f t="shared" ca="1" si="70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3403</v>
      </c>
      <c r="J343" s="194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68</v>
      </c>
      <c r="K343" s="348">
        <f t="shared" ca="1" si="70"/>
        <v>1.9982368498383778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4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374.63</v>
      </c>
      <c r="K344" s="348">
        <f t="shared" ca="1" si="70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3403</v>
      </c>
      <c r="J345" s="194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2628</v>
      </c>
      <c r="K345" s="348">
        <f t="shared" ca="1" si="70"/>
        <v>77.225977079047894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4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27847.43</v>
      </c>
      <c r="K346" s="357">
        <f t="shared" ca="1" si="70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18387094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12150424.052999988</v>
      </c>
      <c r="O347" s="364">
        <f ca="1">+IF(L347&gt;0,N347*100/L347,0)</f>
        <v>66.081263591734441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453</v>
      </c>
      <c r="K349" s="378">
        <f t="shared" ref="K349:K350" ca="1" si="71">IF(I349&gt;0,J349*100/I349,0)</f>
        <v>57.124842370744012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1578447.4500000002</v>
      </c>
      <c r="O349" s="379">
        <f ca="1">+IF(L349&gt;0,N349*100/L349,0)</f>
        <v>71.978925455896913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78">
        <f t="shared" ca="1" si="71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8"/>
      <c r="N351" s="168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2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69"/>
      <c r="N352" s="168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1578447.4500000002</v>
      </c>
      <c r="O352" s="169">
        <f t="shared" ca="1" si="72"/>
        <v>71.978925455896913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5"/>
      <c r="N353" s="175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5">
        <f t="shared" ca="1" si="72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5"/>
      <c r="N354" s="172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1578447.4500000002</v>
      </c>
      <c r="O354" s="175">
        <f t="shared" ca="1" si="72"/>
        <v>71.978925455896913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326680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525870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603848.31000000006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122049.14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7">
        <f t="shared" ref="K367:K373" ca="1" si="73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4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7">
        <f t="shared" ca="1" si="73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0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7">
        <f t="shared" ca="1" si="73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0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227</v>
      </c>
      <c r="K370" s="167">
        <f t="shared" ca="1" si="73"/>
        <v>88.326848249027236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5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7">
        <f t="shared" ca="1" si="73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5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237</v>
      </c>
      <c r="K372" s="167">
        <f t="shared" ca="1" si="73"/>
        <v>92.217898832684824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0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7">
        <f t="shared" ca="1" si="73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4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4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453</v>
      </c>
      <c r="K375" s="167">
        <f t="shared" ref="K375:K377" ca="1" si="74">IF(I375&gt;0,J375*100/I375,0)</f>
        <v>57.124842370744012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5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170</v>
      </c>
      <c r="K376" s="167">
        <f t="shared" ca="1" si="74"/>
        <v>68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0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283</v>
      </c>
      <c r="K377" s="167">
        <f t="shared" ca="1" si="74"/>
        <v>52.117863720073665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3650</v>
      </c>
      <c r="K380" s="378">
        <f t="shared" ref="K380:K381" ca="1" si="75">IF(I380&gt;0,J380*100/I380,0)</f>
        <v>77.659574468085111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3016646.8400000003</v>
      </c>
      <c r="O380" s="379">
        <f ca="1">+IF(L380&gt;0,N380*100/L380,0)</f>
        <v>62.423628981860482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78">
        <f t="shared" ca="1" si="75"/>
        <v>101.06382978723404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8"/>
      <c r="N382" s="168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6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3016646.8400000003</v>
      </c>
      <c r="O383" s="169">
        <f t="shared" ca="1" si="76"/>
        <v>62.423628981860482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5"/>
      <c r="N384" s="175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5">
        <f t="shared" ca="1" si="76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5"/>
      <c r="N385" s="172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3016646.8400000003</v>
      </c>
      <c r="O385" s="175">
        <f t="shared" ca="1" si="76"/>
        <v>62.423628981860482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1067040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1534671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183001.5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231934.34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4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7">
        <f t="shared" ref="K396:K398" ca="1" si="77">IF(I396&gt;0,J396*100/I396,0)</f>
        <v>101.06382978723404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4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3650</v>
      </c>
      <c r="K397" s="167">
        <f t="shared" ca="1" si="77"/>
        <v>77.659574468085111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4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365</v>
      </c>
      <c r="K398" s="167">
        <f t="shared" ca="1" si="77"/>
        <v>77.659574468085111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1515</v>
      </c>
      <c r="K401" s="378">
        <f t="shared" ref="K401:K402" ca="1" si="78">IF(I401&gt;0,J401*100/I401,0)</f>
        <v>93.518518518518519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1528794.0829999999</v>
      </c>
      <c r="O401" s="379">
        <f ca="1">+IF(L401&gt;0,N401*100/L401,0)</f>
        <v>81.154367107086159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540</v>
      </c>
      <c r="K402" s="378">
        <f t="shared" ca="1" si="78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8"/>
      <c r="N403" s="175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5">
        <f t="shared" ref="O403:O406" ca="1" si="79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5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1528794.0829999999</v>
      </c>
      <c r="O404" s="175">
        <f t="shared" ca="1" si="79"/>
        <v>81.154367107086159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5"/>
      <c r="N405" s="175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5">
        <f t="shared" ca="1" si="79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5"/>
      <c r="N406" s="175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1528794.0829999999</v>
      </c>
      <c r="O406" s="175">
        <f t="shared" ca="1" si="79"/>
        <v>81.154367107086159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1023389.0800000001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251051.44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254353.56299999999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540</v>
      </c>
      <c r="K416" s="208">
        <f t="shared" ref="K416:K432" ca="1" si="80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135</v>
      </c>
      <c r="K417" s="208">
        <f t="shared" ca="1" si="80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375</v>
      </c>
      <c r="K418" s="208">
        <f t="shared" ca="1" si="80"/>
        <v>92.592592592592595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135</v>
      </c>
      <c r="K419" s="167">
        <f t="shared" ca="1" si="80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135</v>
      </c>
      <c r="K420" s="294">
        <f t="shared" ca="1" si="80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235</v>
      </c>
      <c r="K421" s="208">
        <f t="shared" ca="1" si="80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660</v>
      </c>
      <c r="K422" s="208">
        <f t="shared" ca="1" si="80"/>
        <v>93.61702127659575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235</v>
      </c>
      <c r="K423" s="167">
        <f t="shared" ca="1" si="80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235</v>
      </c>
      <c r="K424" s="167">
        <f t="shared" ca="1" si="80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235</v>
      </c>
      <c r="K425" s="167">
        <f t="shared" ca="1" si="80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170</v>
      </c>
      <c r="K426" s="208">
        <f t="shared" ca="1" si="80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480</v>
      </c>
      <c r="K427" s="208">
        <f t="shared" ca="1" si="80"/>
        <v>94.117647058823536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170</v>
      </c>
      <c r="K428" s="167">
        <f t="shared" ca="1" si="80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170</v>
      </c>
      <c r="K429" s="167">
        <f t="shared" ca="1" si="80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270</v>
      </c>
      <c r="K430" s="208">
        <f t="shared" ca="1" si="80"/>
        <v>72.972972972972968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115</v>
      </c>
      <c r="K431" s="167">
        <f t="shared" ca="1" si="80"/>
        <v>85.18518518518519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155</v>
      </c>
      <c r="K432" s="167">
        <f t="shared" ca="1" si="80"/>
        <v>65.957446808510639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7">
        <f ca="1">IF(I435&gt;0,J435*100/I435,0)</f>
        <v>100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2299500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2029680.8099999998</v>
      </c>
      <c r="O435" s="418">
        <f t="shared" ref="O435:O439" ca="1" si="81">+IF(L435&gt;0,N435*100/L435,0)</f>
        <v>88.266180039138931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8"/>
      <c r="N436" s="175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5">
        <f t="shared" ca="1" si="81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2299500</v>
      </c>
      <c r="M437" s="169"/>
      <c r="N437" s="175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2029680.8099999998</v>
      </c>
      <c r="O437" s="175">
        <f t="shared" ca="1" si="81"/>
        <v>88.266180039138931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5"/>
      <c r="N438" s="175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5">
        <f t="shared" ca="1" si="81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1292500</v>
      </c>
      <c r="M439" s="175"/>
      <c r="N439" s="175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1022680.8099999999</v>
      </c>
      <c r="O439" s="175">
        <f t="shared" ca="1" si="81"/>
        <v>79.124240618955511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568369.25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454311.56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14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7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7">
        <f t="shared" ref="K449:K452" ca="1" si="82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5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7">
        <f t="shared" ca="1" si="82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4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7">
        <f t="shared" ca="1" si="82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4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7">
        <f t="shared" ca="1" si="82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2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517433.35000000003</v>
      </c>
      <c r="K455" s="378">
        <f ca="1">IF(I455&gt;0,J455*100/I455,0)</f>
        <v>100.57521857275586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4057162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2112351.33</v>
      </c>
      <c r="O455" s="379">
        <f t="shared" ref="O455:O459" ca="1" si="83">+IF(L455&gt;0,N455*100/L455,0)</f>
        <v>52.064751912790271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8"/>
      <c r="N456" s="175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5">
        <f t="shared" ca="1" si="83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4057162</v>
      </c>
      <c r="M457" s="169"/>
      <c r="N457" s="175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2112351.33</v>
      </c>
      <c r="O457" s="175">
        <f t="shared" ca="1" si="83"/>
        <v>52.064751912790271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5"/>
      <c r="N458" s="175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5">
        <f t="shared" ca="1" si="83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4057162</v>
      </c>
      <c r="M459" s="175"/>
      <c r="N459" s="175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2112351.33</v>
      </c>
      <c r="O459" s="175">
        <f t="shared" ca="1" si="83"/>
        <v>52.064751912790271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410329.82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1702021.51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3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517433.35000000003</v>
      </c>
      <c r="K464" s="274">
        <f t="shared" ref="K464:K515" ca="1" si="84">IF(I464&gt;0,J464*100/I464,0)</f>
        <v>100.57521857275586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515168.41000000003</v>
      </c>
      <c r="K465" s="208">
        <f t="shared" ca="1" si="84"/>
        <v>100.13497475091064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08">
        <f t="shared" ca="1" si="84"/>
        <v>99.99806167742436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5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451473.12</v>
      </c>
      <c r="K467" s="167">
        <f t="shared" ca="1" si="84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5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46158</v>
      </c>
      <c r="K468" s="167">
        <f t="shared" ca="1" si="84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5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56001.1</v>
      </c>
      <c r="K469" s="167">
        <f t="shared" ca="1" si="84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5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4673</v>
      </c>
      <c r="K470" s="167">
        <f t="shared" ca="1" si="84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5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7694.1900000000005</v>
      </c>
      <c r="K471" s="167">
        <f t="shared" ca="1" si="84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5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759</v>
      </c>
      <c r="K472" s="167">
        <f t="shared" ca="1" si="84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514482.67000000004</v>
      </c>
      <c r="K473" s="208">
        <f t="shared" ca="1" si="84"/>
        <v>100.00168521635692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51590</v>
      </c>
      <c r="K474" s="208">
        <f t="shared" ca="1" si="84"/>
        <v>99.99806167742436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5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480570.38</v>
      </c>
      <c r="K475" s="167">
        <f t="shared" ca="1" si="84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5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48390</v>
      </c>
      <c r="K476" s="167">
        <f t="shared" ca="1" si="84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5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25766</v>
      </c>
      <c r="K477" s="167">
        <f t="shared" ca="1" si="84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5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2383</v>
      </c>
      <c r="K478" s="167">
        <f t="shared" ca="1" si="84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5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8146.29</v>
      </c>
      <c r="K479" s="167">
        <f t="shared" ca="1" si="84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5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817</v>
      </c>
      <c r="K480" s="167">
        <f t="shared" ca="1" si="84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517433.35000000003</v>
      </c>
      <c r="K481" s="208">
        <f t="shared" ca="1" si="84"/>
        <v>100.57521857275586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52204</v>
      </c>
      <c r="K482" s="208">
        <f t="shared" ca="1" si="84"/>
        <v>101.18819173886918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5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457335.95</v>
      </c>
      <c r="K483" s="167">
        <f t="shared" ca="1" si="84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5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46843</v>
      </c>
      <c r="K484" s="167">
        <f t="shared" ca="1" si="84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5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40886</v>
      </c>
      <c r="K485" s="167">
        <f t="shared" ca="1" si="84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5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3369</v>
      </c>
      <c r="K486" s="167">
        <f t="shared" ca="1" si="84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6108.29</v>
      </c>
      <c r="K487" s="167">
        <f t="shared" ca="1" si="84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667</v>
      </c>
      <c r="K488" s="167">
        <f t="shared" ca="1" si="84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5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5939.29</v>
      </c>
      <c r="K489" s="167">
        <f t="shared" ca="1" si="84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5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649</v>
      </c>
      <c r="K490" s="167">
        <f t="shared" ca="1" si="84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5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169</v>
      </c>
      <c r="K491" s="167">
        <f t="shared" ca="1" si="84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5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18</v>
      </c>
      <c r="K492" s="167">
        <f t="shared" ca="1" si="84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5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13101</v>
      </c>
      <c r="K493" s="167">
        <f t="shared" ca="1" si="84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1324</v>
      </c>
      <c r="K494" s="294">
        <f t="shared" ca="1" si="84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7">
        <f t="shared" ca="1" si="84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4">
        <f t="shared" ca="1" si="84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1751.1100000000001</v>
      </c>
      <c r="K497" s="450">
        <f t="shared" ca="1" si="84"/>
        <v>18.388217998529875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1751.1100000000001</v>
      </c>
      <c r="K498" s="208">
        <f t="shared" ca="1" si="84"/>
        <v>18.388217998529875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224</v>
      </c>
      <c r="K499" s="208">
        <f t="shared" ca="1" si="84"/>
        <v>23.957219251336898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6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1686.22</v>
      </c>
      <c r="K500" s="167">
        <f t="shared" ca="1" si="84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6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213</v>
      </c>
      <c r="K501" s="167">
        <f t="shared" ca="1" si="84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5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1398.55</v>
      </c>
      <c r="K502" s="167">
        <f t="shared" ca="1" si="84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4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178</v>
      </c>
      <c r="K503" s="167">
        <f t="shared" ca="1" si="84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5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287.66999999999996</v>
      </c>
      <c r="K504" s="167">
        <f t="shared" ca="1" si="84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4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35</v>
      </c>
      <c r="K505" s="167">
        <f t="shared" ca="1" si="84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5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167">
        <f t="shared" ca="1" si="84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4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167">
        <f t="shared" ca="1" si="84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6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64.89</v>
      </c>
      <c r="K508" s="167">
        <f t="shared" ca="1" si="84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6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11</v>
      </c>
      <c r="K509" s="167">
        <f t="shared" ca="1" si="84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4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50</v>
      </c>
      <c r="K510" s="167">
        <f t="shared" ca="1" si="84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4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10</v>
      </c>
      <c r="K511" s="167">
        <f t="shared" ca="1" si="84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4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14.89</v>
      </c>
      <c r="K512" s="167">
        <f t="shared" ca="1" si="84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4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1</v>
      </c>
      <c r="K513" s="167">
        <f t="shared" ca="1" si="84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4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7">
        <f t="shared" ca="1" si="84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4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7">
        <f t="shared" ca="1" si="84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3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4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4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552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60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552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261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60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22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4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4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4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4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239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19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293</v>
      </c>
      <c r="K533" s="417">
        <f ca="1">IF(I533&gt;0,J533*100/I533,0)</f>
        <v>100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368704.68</v>
      </c>
      <c r="O533" s="418">
        <f t="shared" ref="O533:O537" ca="1" si="85">+IF(L533&gt;0,N533*100/L533,0)</f>
        <v>78.779684628862015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8"/>
      <c r="N534" s="175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5">
        <f t="shared" ca="1" si="85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69"/>
      <c r="N535" s="175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368704.68</v>
      </c>
      <c r="O535" s="175">
        <f t="shared" ca="1" si="85"/>
        <v>78.779684628862015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5"/>
      <c r="N536" s="175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5">
        <f t="shared" ca="1" si="85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5"/>
      <c r="N537" s="175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368704.68</v>
      </c>
      <c r="O537" s="175">
        <f t="shared" ca="1" si="85"/>
        <v>78.779684628862015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236473.47999999998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132231.20000000001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14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5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293</v>
      </c>
      <c r="K547" s="167">
        <f t="shared" ref="K547:K548" ca="1" si="86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7">
        <f t="shared" ca="1" si="86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7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8"/>
      <c r="N552" s="175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5">
        <f t="shared" ca="1" si="87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5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5">
        <f t="shared" ca="1" si="87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5"/>
      <c r="N554" s="175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5">
        <f t="shared" ca="1" si="87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5"/>
      <c r="N555" s="175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5">
        <f t="shared" ca="1" si="87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6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0">
        <f t="shared" ref="K560:K561" ca="1" si="88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0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0">
        <f t="shared" ca="1" si="88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32991</v>
      </c>
      <c r="K564" s="378">
        <f ca="1">IF(I564&gt;0,J564*100/I564,0)</f>
        <v>270.41803278688525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1179128.02</v>
      </c>
      <c r="O564" s="379">
        <f t="shared" ref="O564:O568" ca="1" si="89">+IF(L564&gt;0,N564*100/L564,0)</f>
        <v>65.544982656646056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8"/>
      <c r="N565" s="175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5">
        <f t="shared" ca="1" si="89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5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1179128.02</v>
      </c>
      <c r="O566" s="175">
        <f t="shared" ca="1" si="89"/>
        <v>65.544982656646056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5"/>
      <c r="N567" s="175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5">
        <f t="shared" ca="1" si="89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5"/>
      <c r="N568" s="175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1179128.02</v>
      </c>
      <c r="O568" s="175">
        <f t="shared" ca="1" si="89"/>
        <v>65.544982656646056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939689.41999999993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239438.6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32991</v>
      </c>
      <c r="K573" s="208">
        <f ca="1">IF(I573&gt;0,J573*100/I573,0)</f>
        <v>270.41803278688525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4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68</v>
      </c>
      <c r="K575" s="167">
        <f t="shared" ref="K575:K579" ca="1" si="90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4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2234</v>
      </c>
      <c r="K576" s="167">
        <f t="shared" ca="1" si="90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5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30597</v>
      </c>
      <c r="K577" s="167">
        <f t="shared" ca="1" si="90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4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2</v>
      </c>
      <c r="K578" s="167">
        <f t="shared" ca="1" si="90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4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158</v>
      </c>
      <c r="K579" s="167">
        <f t="shared" ca="1" si="90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294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2</v>
      </c>
      <c r="K580" s="378">
        <f ca="1">IF(I580&gt;0,J580*100/I580,0)</f>
        <v>0.68027210884353739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730592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250636</v>
      </c>
      <c r="O580" s="379">
        <f t="shared" ref="O580:O584" ca="1" si="91">+IF(L580&gt;0,N580*100/L580,0)</f>
        <v>34.30587797293154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8"/>
      <c r="N581" s="175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5">
        <f t="shared" ca="1" si="91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730592</v>
      </c>
      <c r="M582" s="169"/>
      <c r="N582" s="175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250636</v>
      </c>
      <c r="O582" s="175">
        <f t="shared" ca="1" si="91"/>
        <v>34.30587797293154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5"/>
      <c r="N583" s="175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5">
        <f t="shared" ca="1" si="91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730592</v>
      </c>
      <c r="M584" s="175"/>
      <c r="N584" s="175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250636</v>
      </c>
      <c r="O584" s="175">
        <f t="shared" ca="1" si="91"/>
        <v>34.30587797293154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95096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155540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294</v>
      </c>
      <c r="J589" s="194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302</v>
      </c>
      <c r="K589" s="167">
        <f t="shared" ref="K589:K596" ca="1" si="92">IF(I589&gt;0,J589*100/I589,0)</f>
        <v>102.72108843537416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4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81.849999999999994</v>
      </c>
      <c r="K590" s="486">
        <f t="shared" ca="1" si="92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294</v>
      </c>
      <c r="J591" s="194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224</v>
      </c>
      <c r="K591" s="167">
        <f t="shared" ca="1" si="92"/>
        <v>76.19047619047619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4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75.44</v>
      </c>
      <c r="K592" s="348">
        <f t="shared" ca="1" si="92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294</v>
      </c>
      <c r="J593" s="194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80</v>
      </c>
      <c r="K593" s="167">
        <f t="shared" ca="1" si="92"/>
        <v>27.210884353741495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4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28.84</v>
      </c>
      <c r="K594" s="348">
        <f t="shared" ca="1" si="92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294</v>
      </c>
      <c r="J595" s="194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2</v>
      </c>
      <c r="K595" s="167">
        <f t="shared" ca="1" si="92"/>
        <v>0.68027210884353739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7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1.01</v>
      </c>
      <c r="K596" s="493">
        <f t="shared" ca="1" si="92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94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0</v>
      </c>
      <c r="K597" s="417">
        <f ca="1">IF(I597&gt;0,J597*100/I597,0)</f>
        <v>0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86034.84</v>
      </c>
      <c r="O597" s="418">
        <f t="shared" ref="O597:O601" ca="1" si="93">+IF(L597&gt;0,N597*100/L597,0)</f>
        <v>69.618740896585209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8"/>
      <c r="N598" s="175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5">
        <f t="shared" ca="1" si="93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69"/>
      <c r="N599" s="175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86034.84</v>
      </c>
      <c r="O599" s="175">
        <f t="shared" ca="1" si="93"/>
        <v>69.618740896585209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5"/>
      <c r="N600" s="175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5">
        <f t="shared" ca="1" si="93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5"/>
      <c r="N601" s="175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86034.84</v>
      </c>
      <c r="O601" s="175">
        <f t="shared" ca="1" si="93"/>
        <v>69.618740896585209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2400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83634.84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14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6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0</v>
      </c>
      <c r="K611" s="167">
        <f t="shared" ref="K611:K619" ca="1" si="94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4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925.97</v>
      </c>
      <c r="K612" s="167">
        <f t="shared" ca="1" si="94"/>
        <v>69.726656626506028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4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925.55</v>
      </c>
      <c r="K613" s="167">
        <f t="shared" ca="1" si="94"/>
        <v>69.695030120481931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4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896.55</v>
      </c>
      <c r="K614" s="167">
        <f t="shared" ca="1" si="94"/>
        <v>67.511295180722897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4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896.55</v>
      </c>
      <c r="K615" s="167">
        <f t="shared" ca="1" si="94"/>
        <v>67.511295180722897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4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593.55399999999997</v>
      </c>
      <c r="K616" s="167">
        <f t="shared" ca="1" si="94"/>
        <v>44.695331325301197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4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0</v>
      </c>
      <c r="K617" s="167">
        <f t="shared" ca="1" si="94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5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7">
        <f t="shared" ca="1" si="94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5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0</v>
      </c>
      <c r="K619" s="167">
        <f t="shared" ca="1" si="94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09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7">
        <f t="shared" ref="K620:K626" ca="1" si="95">IF(I$620&gt;0,J620*100/I$620,0)</f>
        <v>84.804980307458024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09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7">
        <f t="shared" ca="1" si="95"/>
        <v>84.804980307458024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5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7">
        <f t="shared" ca="1" si="95"/>
        <v>39.702706136450388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5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7">
        <f t="shared" ca="1" si="95"/>
        <v>45.102274171007636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4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7">
        <f t="shared" ca="1" si="95"/>
        <v>84.804980307458024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5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7">
        <f t="shared" ca="1" si="95"/>
        <v>78.770168974717564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5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7">
        <f t="shared" ca="1" si="95"/>
        <v>78.770168974717564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18501340.119999997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11631859.52</v>
      </c>
      <c r="K628" s="348">
        <f t="shared" ref="K628:K635" ca="1" si="96">IF(I628&gt;0,J628*100/I628,0)</f>
        <v>62.87036206326443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1437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928</v>
      </c>
      <c r="K629" s="348">
        <f t="shared" ca="1" si="96"/>
        <v>64.578983994432846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4801288.8699999992</v>
      </c>
      <c r="K630" s="348">
        <f t="shared" ca="1" si="96"/>
        <v>22.134544513509859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605</v>
      </c>
      <c r="K631" s="348">
        <f t="shared" ca="1" si="96"/>
        <v>68.90660592255125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219048.08</v>
      </c>
      <c r="K632" s="348">
        <f t="shared" ca="1" si="96"/>
        <v>111.19214455257779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272</v>
      </c>
      <c r="K633" s="348">
        <f t="shared" ca="1" si="96"/>
        <v>66.180048661800484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17604000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14659000</v>
      </c>
      <c r="K634" s="348">
        <f t="shared" ca="1" si="96"/>
        <v>83.27084753465121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454</v>
      </c>
      <c r="J635" s="518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361</v>
      </c>
      <c r="K635" s="493">
        <f t="shared" ca="1" si="96"/>
        <v>79.51541850220265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13645</v>
      </c>
      <c r="M636" s="524"/>
      <c r="N636" s="523">
        <f ca="1">SUM(N637:N638)</f>
        <v>8270</v>
      </c>
      <c r="O636" s="523">
        <f t="shared" ref="O636:O640" ca="1" si="97">+IF(L636&gt;0,N636*100/L636,0)</f>
        <v>60.608281421766215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97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13645</v>
      </c>
      <c r="M638" s="534"/>
      <c r="N638" s="535">
        <f ca="1">SUM(N639:N640)</f>
        <v>8270</v>
      </c>
      <c r="O638" s="535">
        <f t="shared" ca="1" si="97"/>
        <v>60.608281421766215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97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13645</v>
      </c>
      <c r="M640" s="534"/>
      <c r="N640" s="535">
        <f ca="1">SUM(N641:N644)</f>
        <v>8270</v>
      </c>
      <c r="O640" s="535">
        <f t="shared" ca="1" si="97"/>
        <v>60.608281421766215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8270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กระบี่!J646+ชุมพร!J646+ตรัง!J646+นครศรีธรรมราช!J646+นราธิวาส!J646+ปัตตานี!J646+พังงา!J646+พัทลุง!J646+ภูเก็ต!J646+ยะลา!J646+ระนอง!J646+สงขลา!J646+สตูล!J646+สุราษฎร์ธานี!J646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กระบี่!J647+ชุมพร!J647+ตรัง!J647+นครศรีธรรมราช!J647+นราธิวาส!J647+ปัตตานี!J647+พังงา!J647+พัทลุง!J647+ภูเก็ต!J647+ยะลา!J647+ระนอง!J647+สงขลา!J647+สตูล!J647+สุราษฎร์ธานี!J647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กระบี่!I648+ชุมพร!I648+ตรัง!I648+นครศรีธรรมราช!I648+นราธิวาส!I648+ปัตตานี!I648+พังงา!I648+พัทลุง!I648+ภูเก็ต!I648+ยะลา!I648+ระนอง!I648+สงขลา!I648+สตูล!I648+สุราษฎร์ธานี!I648</f>
        <v>63</v>
      </c>
      <c r="J648" s="547">
        <f ca="1">กระบี่!J648+ชุมพร!J648+ตรัง!J648+นครศรีธรรมราช!J648+นราธิวาส!J648+ปัตตานี!J648+พังงา!J648+พัทลุง!J648+ภูเก็ต!J648+ยะลา!J648+ระนอง!J648+สงขลา!J648+สตูล!J648+สุราษฎร์ธานี!J648</f>
        <v>11</v>
      </c>
      <c r="K648" s="548">
        <f t="shared" ref="K648:K651" ca="1" si="98">IF(I648&gt;0,J648*100/I648,0)</f>
        <v>17.460317460317459</v>
      </c>
      <c r="L648" s="535">
        <f ca="1">กระบี่!L648+ชุมพร!L648+ตรัง!L648+นครศรีธรรมราช!L648+นราธิวาส!L648+ปัตตานี!L648+พังงา!L648+พัทลุง!L648+ภูเก็ต!L648+ยะลา!L648+ระนอง!L648+สงขลา!L648+สตูล!L648+สุราษฎร์ธานี!L648</f>
        <v>7875</v>
      </c>
      <c r="M648" s="534"/>
      <c r="N648" s="549">
        <f ca="1">กระบี่!N648+ชุมพร!N648+ตรัง!N648+นครศรีธรรมราช!N648+นราธิวาส!N648+ปัตตานี!N648+พังงา!N648+พัทลุง!N648+ภูเก็ต!N648+ยะลา!N648+ระนอง!N648+สงขลา!N648+สตูล!N648+สุราษฎร์ธานี!N648</f>
        <v>5640</v>
      </c>
      <c r="O648" s="548">
        <f t="shared" ref="O648:O651" ca="1" si="99">IF(L648&gt;0,N648*100/L648,0)</f>
        <v>71.61904761904762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กระบี่!I649+ชุมพร!I649+ตรัง!I649+นครศรีธรรมราช!I649+นราธิวาส!I649+ปัตตานี!I649+พังงา!I649+พัทลุง!I649+ภูเก็ต!I649+ยะลา!I649+ระนอง!I649+สงขลา!I649+สตูล!I649+สุราษฎร์ธานี!I649</f>
        <v>46</v>
      </c>
      <c r="J649" s="547">
        <f ca="1">กระบี่!J649+ชุมพร!J649+ตรัง!J649+นครศรีธรรมราช!J649+นราธิวาส!J649+ปัตตานี!J649+พังงา!J649+พัทลุง!J649+ภูเก็ต!J649+ยะลา!J649+ระนอง!J649+สงขลา!J649+สตูล!J649+สุราษฎร์ธานี!J649</f>
        <v>0</v>
      </c>
      <c r="K649" s="548">
        <f t="shared" ca="1" si="98"/>
        <v>0</v>
      </c>
      <c r="L649" s="535">
        <f ca="1">กระบี่!L649+ชุมพร!L649+ตรัง!L649+นครศรีธรรมราช!L649+นราธิวาส!L649+ปัตตานี!L649+พังงา!L649+พัทลุง!L649+ภูเก็ต!L649+ยะลา!L649+ระนอง!L649+สงขลา!L649+สตูล!L649+สุราษฎร์ธานี!L649</f>
        <v>5520</v>
      </c>
      <c r="M649" s="534"/>
      <c r="N649" s="549">
        <f ca="1">กระบี่!N649+ชุมพร!N649+ตรัง!N649+นครศรีธรรมราช!N649+นราธิวาส!N649+ปัตตานี!N649+พังงา!N649+พัทลุง!N649+ภูเก็ต!N649+ยะลา!N649+ระนอง!N649+สงขลา!N649+สตูล!N649+สุราษฎร์ธานี!N649</f>
        <v>2630</v>
      </c>
      <c r="O649" s="548">
        <f t="shared" ca="1" si="99"/>
        <v>47.644927536231883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กระบี่!I650+ชุมพร!I650+ตรัง!I650+นครศรีธรรมราช!I650+นราธิวาส!I650+ปัตตานี!I650+พังงา!I650+พัทลุง!I650+ภูเก็ต!I650+ยะลา!I650+ระนอง!I650+สงขลา!I650+สตูล!I650+สุราษฎร์ธานี!I650</f>
        <v>50</v>
      </c>
      <c r="J650" s="547">
        <f ca="1">กระบี่!J650+ชุมพร!J650+ตรัง!J650+นครศรีธรรมราช!J650+นราธิวาส!J650+ปัตตานี!J650+พังงา!J650+พัทลุง!J650+ภูเก็ต!J650+ยะลา!J650+ระนอง!J650+สงขลา!J650+สตูล!J650+สุราษฎร์ธานี!J650</f>
        <v>0</v>
      </c>
      <c r="K650" s="548">
        <f t="shared" ca="1" si="98"/>
        <v>0</v>
      </c>
      <c r="L650" s="535">
        <f ca="1">กระบี่!L650+ชุมพร!L650+ตรัง!L650+นครศรีธรรมราช!L650+นราธิวาส!L650+ปัตตานี!L650+พังงา!L650+พัทลุง!L650+ภูเก็ต!L650+ยะลา!L650+ระนอง!L650+สงขลา!L650+สตูล!L650+สุราษฎร์ธานี!L650</f>
        <v>250</v>
      </c>
      <c r="M650" s="534"/>
      <c r="N650" s="549">
        <f ca="1">กระบี่!N650+ชุมพร!N650+ตรัง!N650+นครศรีธรรมราช!N650+นราธิวาส!N650+ปัตตานี!N650+พังงา!N650+พัทลุง!N650+ภูเก็ต!N650+ยะลา!N650+ระนอง!N650+สงขลา!N650+สตูล!N650+สุราษฎร์ธานี!N650</f>
        <v>0</v>
      </c>
      <c r="O650" s="548">
        <f t="shared" ca="1" si="99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กระบี่!I651+ชุมพร!I651+ตรัง!I651+นครศรีธรรมราช!I651+นราธิวาส!I651+ปัตตานี!I651+พังงา!I651+พัทลุง!I651+ภูเก็ต!I651+ยะลา!I651+ระนอง!I651+สงขลา!I651+สตูล!I651+สุราษฎร์ธานี!I651</f>
        <v>0</v>
      </c>
      <c r="J651" s="547">
        <f ca="1">J657+J660</f>
        <v>0</v>
      </c>
      <c r="K651" s="548">
        <f t="shared" ca="1" si="98"/>
        <v>0</v>
      </c>
      <c r="L651" s="535">
        <f ca="1">กระบี่!L651+ชุมพร!L651+ตรัง!L651+นครศรีธรรมราช!L651+นราธิวาส!L651+ปัตตานี!L651+พังงา!L651+พัทลุง!L651+ภูเก็ต!L651+ยะลา!L651+ระนอง!L651+สงขลา!L651+สตูล!L651+สุราษฎร์ธานี!L651</f>
        <v>0</v>
      </c>
      <c r="M651" s="534"/>
      <c r="N651" s="549">
        <f ca="1">กระบี่!N651+ชุมพร!N651+ตรัง!N651+นครศรีธรรมราช!N651+นราธิวาส!N651+ปัตตานี!N651+พังงา!N651+พัทลุง!N651+ภูเก็ต!N651+ยะลา!N651+ระนอง!N651+สงขลา!N651+สตูล!N651+สุราษฎร์ธานี!N651</f>
        <v>0</v>
      </c>
      <c r="O651" s="548">
        <f t="shared" ca="1" si="99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กระบี่!J652+ชุมพร!J652+ตรัง!J652+นครศรีธรรมราช!J652+นราธิวาส!J652+ปัตตานี!J652+พังงา!J652+พัทลุง!J652+ภูเก็ต!J652+ยะลา!J652+ระนอง!J652+สงขลา!J652+สตูล!J652+สุราษฎร์ธานี!J652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กระบี่!J653+ชุมพร!J653+ตรัง!J653+นครศรีธรรมราช!J653+นราธิวาส!J653+ปัตตานี!J653+พังงา!J653+พัทลุง!J653+ภูเก็ต!J653+ยะลา!J653+ระนอง!J653+สงขลา!J653+สตูล!J653+สุราษฎร์ธานี!J653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กระบี่!J655+ชุมพร!J655+ตรัง!J655+นครศรีธรรมราช!J655+นราธิวาส!J655+ปัตตานี!J655+พังงา!J655+พัทลุง!J655+ภูเก็ต!J655+ยะลา!J655+ระนอง!J655+สงขลา!J655+สตูล!J655+สุราษฎร์ธานี!J655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กระบี่!J656+ชุมพร!J656+ตรัง!J656+นครศรีธรรมราช!J656+นราธิวาส!J656+ปัตตานี!J656+พังงา!J656+พัทลุง!J656+ภูเก็ต!J656+ยะลา!J656+ระนอง!J656+สงขลา!J656+สตูล!J656+สุราษฎร์ธานี!J656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กระบี่!J657+ชุมพร!J657+ตรัง!J657+นครศรีธรรมราช!J657+นราธิวาส!J657+ปัตตานี!J657+พังงา!J657+พัทลุง!J657+ภูเก็ต!J657+ยะลา!J657+ระนอง!J657+สงขลา!J657+สตูล!J657+สุราษฎร์ธานี!J657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กระบี่!J658+ชุมพร!J658+ตรัง!J658+นครศรีธรรมราช!J658+นราธิวาส!J658+ปัตตานี!J658+พังงา!J658+พัทลุง!J658+ภูเก็ต!J658+ยะลา!J658+ระนอง!J658+สงขลา!J658+สตูล!J658+สุราษฎร์ธานี!J658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กระบี่!J659+ชุมพร!J659+ตรัง!J659+นครศรีธรรมราช!J659+นราธิวาส!J659+ปัตตานี!J659+พังงา!J659+พัทลุง!J659+ภูเก็ต!J659+ยะลา!J659+ระนอง!J659+สงขลา!J659+สตูล!J659+สุราษฎร์ธานี!J659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กระบี่!J660+ชุมพร!J660+ตรัง!J660+นครศรีธรรมราช!J660+นราธิวาส!J660+ปัตตานี!J660+พังงา!J660+พัทลุง!J660+ภูเก็ต!J660+ยะลา!J660+ระนอง!J660+สงขลา!J660+สตูล!J660+สุราษฎร์ธานี!J660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กระบี่!J661+ชุมพร!J661+ตรัง!J661+นครศรีธรรมราช!J661+นราธิวาส!J661+ปัตตานี!J661+พังงา!J661+พัทลุง!J661+ภูเก็ต!J661+ยะลา!J661+ระนอง!J661+สงขลา!J661+สตูล!J661+สุราษฎร์ธานี!J661</f>
        <v>0</v>
      </c>
      <c r="K661" s="548"/>
      <c r="L661" s="535">
        <f ca="1">กระบี่!L661+ชุมพร!L661+ตรัง!L661+นครศรีธรรมราช!L661+นราธิวาส!L661+ปัตตานี!L661+พังงา!L661+พัทลุง!L661+ภูเก็ต!L661+ยะลา!L661+ระนอง!L661+สงขลา!L661+สตูล!L661+สุราษฎร์ธานี!L661</f>
        <v>0</v>
      </c>
      <c r="M661" s="534"/>
      <c r="N661" s="549">
        <f ca="1">กระบี่!N661+ชุมพร!N661+ตรัง!N661+นครศรีธรรมราช!N661+นราธิวาส!N661+ปัตตานี!N661+พังงา!N661+พัทลุง!N661+ภูเก็ต!N661+ยะลา!N661+ระนอง!N661+สงขลา!N661+สตูล!N661+สุราษฎร์ธานี!N661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กระบี่!J662+ชุมพร!J662+ตรัง!J662+นครศรีธรรมราช!J662+นราธิวาส!J662+ปัตตานี!J662+พังงา!J662+พัทลุง!J662+ภูเก็ต!J662+ยะลา!J662+ระนอง!J662+สงขลา!J662+สตูล!J662+สุราษฎร์ธานี!J662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กระบี่!I663+ชุมพร!I663+ตรัง!I663+นครศรีธรรมราช!I663+นราธิวาส!I663+ปัตตานี!I663+พังงา!I663+พัทลุง!I663+ภูเก็ต!I663+ยะลา!I663+ระนอง!I663+สงขลา!I663+สตูล!I663+สุราษฎร์ธานี!I663</f>
        <v>0</v>
      </c>
      <c r="J663" s="547">
        <f ca="1">กระบี่!J663+ชุมพร!J663+ตรัง!J663+นครศรีธรรมราช!J663+นราธิวาส!J663+ปัตตานี!J663+พังงา!J663+พัทลุง!J663+ภูเก็ต!J663+ยะลา!J663+ระนอง!J663+สงขลา!J663+สตูล!J663+สุราษฎร์ธานี!J663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กระบี่!I665+ชุมพร!I665+ตรัง!I665+นครศรีธรรมราช!I665+นราธิวาส!I665+ปัตตานี!I665+พังงา!I665+พัทลุง!I665+ภูเก็ต!I665+ยะลา!I665+ระนอง!I665+สงขลา!I665+สตูล!I665+สุราษฎร์ธานี!I665</f>
        <v>0</v>
      </c>
      <c r="J665" s="547">
        <f ca="1">กระบี่!J665+ชุมพร!J665+ตรัง!J665+นครศรีธรรมราช!J665+นราธิวาส!J665+ปัตตานี!J665+พังงา!J665+พัทลุง!J665+ภูเก็ต!J665+ยะลา!J665+ระนอง!J665+สงขลา!J665+สตูล!J665+สุราษฎร์ธานี!J665</f>
        <v>0</v>
      </c>
      <c r="K665" s="548">
        <f ca="1">IF(I665&gt;0,J665*100/I665,0)</f>
        <v>0</v>
      </c>
      <c r="L665" s="535">
        <f ca="1">กระบี่!L665+ชุมพร!L665+ตรัง!L665+นครศรีธรรมราช!L665+นราธิวาส!L665+ปัตตานี!L665+พังงา!L665+พัทลุง!L665+ภูเก็ต!L665+ยะลา!L665+ระนอง!L665+สงขลา!L665+สตูล!L665+สุราษฎร์ธานี!L665</f>
        <v>0</v>
      </c>
      <c r="M665" s="534"/>
      <c r="N665" s="549">
        <f ca="1">กระบี่!N665+ชุมพร!N665+ตรัง!N665+นครศรีธรรมราช!N665+นราธิวาส!N665+ปัตตานี!N665+พังงา!N665+พัทลุง!N665+ภูเก็ต!N665+ยะลา!N665+ระนอง!N665+สงขลา!N665+สตูล!N665+สุราษฎร์ธานี!N665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กระบี่!J666+ชุมพร!J666+ตรัง!J666+นครศรีธรรมราช!J666+นราธิวาส!J666+ปัตตานี!J666+พังงา!J666+พัทลุง!J666+ภูเก็ต!J666+ยะลา!J666+ระนอง!J666+สงขลา!J666+สตูล!J666+สุราษฎร์ธานี!J666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กระบี่!J667+ชุมพร!J667+ตรัง!J667+นครศรีธรรมราช!J667+นราธิวาส!J667+ปัตตานี!J667+พังงา!J667+พัทลุง!J667+ภูเก็ต!J667+ยะลา!J667+ระนอง!J667+สงขลา!J667+สตูล!J667+สุราษฎร์ธานี!J667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กระบี่!I668+ชุมพร!I668+ตรัง!I668+นครศรีธรรมราช!I668+นราธิวาส!I668+ปัตตานี!I668+พังงา!I668+พัทลุง!I668+ภูเก็ต!I668+ยะลา!I668+ระนอง!I668+สงขลา!I668+สตูล!I668+สุราษฎร์ธานี!I668</f>
        <v>0</v>
      </c>
      <c r="J668" s="547">
        <f ca="1">กระบี่!J668+ชุมพร!J668+ตรัง!J668+นครศรีธรรมราช!J668+นราธิวาส!J668+ปัตตานี!J668+พังงา!J668+พัทลุง!J668+ภูเก็ต!J668+ยะลา!J668+ระนอง!J668+สงขลา!J668+สตูล!J668+สุราษฎร์ธานี!J668</f>
        <v>0</v>
      </c>
      <c r="K668" s="548">
        <f ca="1">IF(I668&gt;0,J668*100/I668,0)</f>
        <v>0</v>
      </c>
      <c r="L668" s="535">
        <f ca="1">กระบี่!L668+ชุมพร!L668+ตรัง!L668+นครศรีธรรมราช!L668+นราธิวาส!L668+ปัตตานี!L668+พังงา!L668+พัทลุง!L668+ภูเก็ต!L668+ยะลา!L668+ระนอง!L668+สงขลา!L668+สตูล!L668+สุราษฎร์ธานี!L668</f>
        <v>0</v>
      </c>
      <c r="M668" s="534"/>
      <c r="N668" s="549">
        <f ca="1">กระบี่!N668+ชุมพร!N668+ตรัง!N668+นครศรีธรรมราช!N668+นราธิวาส!N668+ปัตตานี!N668+พังงา!N668+พัทลุง!N668+ภูเก็ต!N668+ยะลา!N668+ระนอง!N668+สงขลา!N668+สตูล!N668+สุราษฎร์ธานี!N668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กระบี่!I671+ชุมพร!I671+ตรัง!I671+นครศรีธรรมราช!I671+นราธิวาส!I671+ปัตตานี!I671+พังงา!I671+พัทลุง!I671+ภูเก็ต!I671+ยะลา!I671+ระนอง!I671+สงขลา!I671+สตูล!I671+สุราษฎร์ธานี!I671</f>
        <v>0</v>
      </c>
      <c r="J671" s="547">
        <f ca="1">J674+J677</f>
        <v>0</v>
      </c>
      <c r="K671" s="548">
        <f ca="1">IF(I671&gt;0,J671*100/I671,0)</f>
        <v>0</v>
      </c>
      <c r="L671" s="535">
        <f ca="1">กระบี่!L671+ชุมพร!L671+ตรัง!L671+นครศรีธรรมราช!L671+นราธิวาส!L671+ปัตตานี!L671+พังงา!L671+พัทลุง!L671+ภูเก็ต!L671+ยะลา!L671+ระนอง!L671+สงขลา!L671+สตูล!L671+สุราษฎร์ธานี!L671</f>
        <v>0</v>
      </c>
      <c r="M671" s="534"/>
      <c r="N671" s="549">
        <f ca="1">กระบี่!N671+ชุมพร!N671+ตรัง!N671+นครศรีธรรมราช!N671+นราธิวาส!N671+ปัตตานี!N671+พังงา!N671+พัทลุง!N671+ภูเก็ต!N671+ยะลา!N671+ระนอง!N671+สงขลา!N671+สตูล!N671+สุราษฎร์ธานี!N671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กระบี่!J672+ชุมพร!J672+ตรัง!J672+นครศรีธรรมราช!J672+นราธิวาส!J672+ปัตตานี!J672+พังงา!J672+พัทลุง!J672+ภูเก็ต!J672+ยะลา!J672+ระนอง!J672+สงขลา!J672+สตูล!J672+สุราษฎร์ธานี!J672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กระบี่!J673+ชุมพร!J673+ตรัง!J673+นครศรีธรรมราช!J673+นราธิวาส!J673+ปัตตานี!J673+พังงา!J673+พัทลุง!J673+ภูเก็ต!J673+ยะลา!J673+ระนอง!J673+สงขลา!J673+สตูล!J673+สุราษฎร์ธานี!J673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กระบี่!J674+ชุมพร!J674+ตรัง!J674+นครศรีธรรมราช!J674+นราธิวาส!J674+ปัตตานี!J674+พังงา!J674+พัทลุง!J674+ภูเก็ต!J674+ยะลา!J674+ระนอง!J674+สงขลา!J674+สตูล!J674+สุราษฎร์ธานี!J674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กระบี่!J675+ชุมพร!J675+ตรัง!J675+นครศรีธรรมราช!J675+นราธิวาส!J675+ปัตตานี!J675+พังงา!J675+พัทลุง!J675+ภูเก็ต!J675+ยะลา!J675+ระนอง!J675+สงขลา!J675+สตูล!J675+สุราษฎร์ธานี!J675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กระบี่!J676+ชุมพร!J676+ตรัง!J676+นครศรีธรรมราช!J676+นราธิวาส!J676+ปัตตานี!J676+พังงา!J676+พัทลุง!J676+ภูเก็ต!J676+ยะลา!J676+ระนอง!J676+สงขลา!J676+สตูล!J676+สุราษฎร์ธานี!J676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กระบี่!J677+ชุมพร!J677+ตรัง!J677+นครศรีธรรมราช!J677+นราธิวาส!J677+ปัตตานี!J677+พังงา!J677+พัทลุง!J677+ภูเก็ต!J677+ยะลา!J677+ระนอง!J677+สงขลา!J677+สตูล!J677+สุราษฎร์ธานี!J677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0.8554687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2199965</v>
      </c>
      <c r="M8" s="23">
        <f t="shared" ca="1" si="0"/>
        <v>1666171</v>
      </c>
      <c r="N8" s="23">
        <f t="shared" ca="1" si="0"/>
        <v>1583457.41</v>
      </c>
      <c r="O8" s="22">
        <f t="shared" ref="O8:O16" ca="1" si="1">IF(L8&gt;0,N8*100/L8,0)</f>
        <v>71.976481898575656</v>
      </c>
      <c r="P8" s="22">
        <f t="shared" ref="P8:P16" ca="1" si="2">IF(M8&gt;0,N8*100/M8,0)</f>
        <v>95.03570821962451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2199965</v>
      </c>
      <c r="M10" s="30">
        <f t="shared" ca="1" si="4"/>
        <v>1666171</v>
      </c>
      <c r="N10" s="30">
        <f t="shared" ca="1" si="4"/>
        <v>1583457.41</v>
      </c>
      <c r="O10" s="29">
        <f t="shared" ca="1" si="1"/>
        <v>71.976481898575656</v>
      </c>
      <c r="P10" s="29">
        <f t="shared" ca="1" si="2"/>
        <v>95.03570821962451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2139265</v>
      </c>
      <c r="M12" s="38">
        <f t="shared" ca="1" si="6"/>
        <v>1605471</v>
      </c>
      <c r="N12" s="38">
        <f t="shared" ca="1" si="6"/>
        <v>1522757.41</v>
      </c>
      <c r="O12" s="38">
        <f t="shared" ca="1" si="1"/>
        <v>71.181336113104265</v>
      </c>
      <c r="P12" s="38">
        <f t="shared" ca="1" si="2"/>
        <v>94.848017186233818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760265</v>
      </c>
      <c r="M14" s="38">
        <f t="shared" si="8"/>
        <v>0</v>
      </c>
      <c r="N14" s="38">
        <f t="shared" ca="1" si="8"/>
        <v>363375</v>
      </c>
      <c r="O14" s="41">
        <f t="shared" ca="1" si="1"/>
        <v>47.795834347234191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1676895</v>
      </c>
      <c r="M18" s="23">
        <f t="shared" ca="1" si="11"/>
        <v>1666171</v>
      </c>
      <c r="N18" s="23">
        <f t="shared" ca="1" si="11"/>
        <v>1220082.4099999999</v>
      </c>
      <c r="O18" s="22">
        <f t="shared" ref="O18:O20" ca="1" si="12">IF(L18&gt;0,N18*100/L18,0)</f>
        <v>72.758426138786263</v>
      </c>
      <c r="P18" s="22">
        <f t="shared" ref="P18:P26" ca="1" si="13">IF(M18&gt;0,N18*100/M18,0)</f>
        <v>73.226722227190351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1676895</v>
      </c>
      <c r="M20" s="30">
        <f t="shared" ca="1" si="15"/>
        <v>1666171</v>
      </c>
      <c r="N20" s="30">
        <f t="shared" ca="1" si="15"/>
        <v>1220082.4099999999</v>
      </c>
      <c r="O20" s="29">
        <f t="shared" ca="1" si="12"/>
        <v>72.758426138786263</v>
      </c>
      <c r="P20" s="29">
        <f t="shared" ca="1" si="13"/>
        <v>73.226722227190351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1616195</v>
      </c>
      <c r="M22" s="42">
        <f t="shared" ca="1" si="18"/>
        <v>1605471</v>
      </c>
      <c r="N22" s="41">
        <f t="shared" ca="1" si="18"/>
        <v>1159382.4099999999</v>
      </c>
      <c r="O22" s="41">
        <f t="shared" ca="1" si="17"/>
        <v>71.735304836359461</v>
      </c>
      <c r="P22" s="41">
        <f t="shared" ca="1" si="13"/>
        <v>72.214472263902607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1379000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237195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523070</v>
      </c>
      <c r="M28" s="23">
        <f t="shared" si="23"/>
        <v>0</v>
      </c>
      <c r="N28" s="23">
        <f t="shared" ca="1" si="23"/>
        <v>363375</v>
      </c>
      <c r="O28" s="22">
        <f t="shared" ref="O28:O30" ca="1" si="24">IF(L28&gt;0,N28*100/L28,0)</f>
        <v>69.469669451507443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523070</v>
      </c>
      <c r="M30" s="30">
        <f t="shared" si="27"/>
        <v>0</v>
      </c>
      <c r="N30" s="30">
        <f t="shared" ca="1" si="27"/>
        <v>363375</v>
      </c>
      <c r="O30" s="29">
        <f t="shared" ca="1" si="24"/>
        <v>69.469669451507443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523070</v>
      </c>
      <c r="M32" s="41">
        <f t="shared" si="30"/>
        <v>0</v>
      </c>
      <c r="N32" s="41">
        <f t="shared" ca="1" si="30"/>
        <v>363375</v>
      </c>
      <c r="O32" s="41">
        <f t="shared" ca="1" si="29"/>
        <v>69.469669451507443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523070</v>
      </c>
      <c r="M34" s="41">
        <f t="shared" si="32"/>
        <v>0</v>
      </c>
      <c r="N34" s="41">
        <f t="shared" ca="1" si="32"/>
        <v>363375</v>
      </c>
      <c r="O34" s="41">
        <f t="shared" ca="1" si="29"/>
        <v>69.469669451507443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1676895</v>
      </c>
      <c r="M37" s="55">
        <f t="shared" ca="1" si="33"/>
        <v>1666171</v>
      </c>
      <c r="N37" s="55">
        <f t="shared" ca="1" si="33"/>
        <v>1220082.4099999999</v>
      </c>
      <c r="O37" s="56">
        <f t="shared" ca="1" si="29"/>
        <v>72.758426138786263</v>
      </c>
      <c r="P37" s="56">
        <f t="shared" ca="1" si="25"/>
        <v>73.226722227190351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626400</v>
      </c>
      <c r="N41" s="79">
        <f t="shared" ca="1" si="34"/>
        <v>479618.31</v>
      </c>
      <c r="O41" s="78">
        <f t="shared" ref="O41:O43" ca="1" si="35">IF(L41&gt;0,N41*100/L41,0)</f>
        <v>76.567418582375481</v>
      </c>
      <c r="P41" s="78">
        <f t="shared" ref="P41:P43" ca="1" si="36">IF(M41&gt;0,N41*100/M41,0)</f>
        <v>76.567418582375481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626400</v>
      </c>
      <c r="N43" s="79">
        <f t="shared" ca="1" si="38"/>
        <v>479618.31</v>
      </c>
      <c r="O43" s="78">
        <f t="shared" ca="1" si="35"/>
        <v>76.567418582375481</v>
      </c>
      <c r="P43" s="78">
        <f t="shared" ca="1" si="36"/>
        <v>76.567418582375481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IFERROR(__xludf.DUMMYFUNCTION("IMPORTRANGE(""https://docs.google.com/spreadsheets/d/1Yj_ptqi66GCucihVvJfMjLAmec39IyEx_6qawtMGysU/edit?usp=sharing"",""สบก!Q89"")"),603500)</f>
        <v>603500</v>
      </c>
      <c r="N45" s="91">
        <f ca="1">IFERROR(__xludf.DUMMYFUNCTION("IMPORTRANGE(""https://docs.google.com/spreadsheets/d/1Yj_ptqi66GCucihVvJfMjLAmec39IyEx_6qawtMGysU/edit?usp=sharing"",""สบก!R89"")"),456718.31)</f>
        <v>456718.31</v>
      </c>
      <c r="O45" s="92">
        <f ca="1">IF(L45&gt;0,N45*100/L45,0)</f>
        <v>75.678261806130905</v>
      </c>
      <c r="P45" s="92">
        <f ca="1">IF(M45&gt;0,N45*100/M45,0)</f>
        <v>75.678261806130905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280000</v>
      </c>
      <c r="M53" s="125">
        <f t="shared" ca="1" si="39"/>
        <v>224589</v>
      </c>
      <c r="N53" s="125">
        <f t="shared" ca="1" si="39"/>
        <v>158448.87</v>
      </c>
      <c r="O53" s="124">
        <f t="shared" ref="O53:O55" ca="1" si="40">IF(L53&gt;0,N53*100/L53,0)</f>
        <v>56.588882142857145</v>
      </c>
      <c r="P53" s="124">
        <f t="shared" ref="P53:P55" ca="1" si="41">IF(M53&gt;0,N53*100/M53,0)</f>
        <v>70.550592415478945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280000</v>
      </c>
      <c r="M55" s="125">
        <f t="shared" ca="1" si="43"/>
        <v>224589</v>
      </c>
      <c r="N55" s="125">
        <f t="shared" ca="1" si="43"/>
        <v>158448.87</v>
      </c>
      <c r="O55" s="124">
        <f t="shared" ca="1" si="40"/>
        <v>56.588882142857145</v>
      </c>
      <c r="P55" s="124">
        <f t="shared" ca="1" si="41"/>
        <v>70.550592415478945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280000</v>
      </c>
      <c r="M57" s="91">
        <f ca="1">IFERROR(__xludf.DUMMYFUNCTION("IMPORTRANGE(""https://docs.google.com/spreadsheets/d/1Yj_ptqi66GCucihVvJfMjLAmec39IyEx_6qawtMGysU/edit?usp=sharing"",""สบก!Z89"")"),224589)</f>
        <v>224589</v>
      </c>
      <c r="N57" s="91">
        <f ca="1">IFERROR(__xludf.DUMMYFUNCTION("IMPORTRANGE(""https://docs.google.com/spreadsheets/d/1Yj_ptqi66GCucihVvJfMjLAmec39IyEx_6qawtMGysU/edit?usp=sharing"",""สบก!AA89"")"),158448.87)</f>
        <v>158448.87</v>
      </c>
      <c r="O57" s="92">
        <f ca="1">IF(L57&gt;0,N57*100/L57,0)</f>
        <v>56.588882142857145</v>
      </c>
      <c r="P57" s="92">
        <f ca="1">IF(M57&gt;0,N57*100/M57,0)</f>
        <v>70.550592415478945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IFERROR(__xludf.DUMMYFUNCTION("IMPORTRANGE(""https://docs.google.com/spreadsheets/d/1Yj_ptqi66GCucihVvJfMjLAmec39IyEx_6qawtMGysU/edit?usp=sharing"",""สบก!V89"")"),280000)</f>
        <v>280000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IFERROR(__xludf.DUMMYFUNCTION("IMPORTRANGE(""https://docs.google.com/spreadsheets/d/1Yj_ptqi66GCucihVvJfMjLAmec39IyEx_6qawtMGysU/edit?usp=sharing"",""สบก!AI89"")"),0)</f>
        <v>0</v>
      </c>
      <c r="N70" s="174">
        <f ca="1">IFERROR(__xludf.DUMMYFUNCTION("IMPORTRANGE(""https://docs.google.com/spreadsheets/d/1Yj_ptqi66GCucihVvJfMjLAmec39IyEx_6qawtMGysU/edit?usp=sharing"",""สบก!AJ89"")"),0)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IFERROR(__xludf.DUMMYFUNCTION("IMPORTRANGE(""https://docs.google.com/spreadsheets/d/1Yj_ptqi66GCucihVvJfMjLAmec39IyEx_6qawtMGysU/edit?usp=sharing"",""สบก!AE89"")"),0)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IFERROR(__xludf.DUMMYFUNCTION("IMPORTRANGE(""https://docs.google.com/spreadsheets/d/1Yj_ptqi66GCucihVvJfMjLAmec39IyEx_6qawtMGysU/edit?usp=sharing"",""สบก!AF89"")"),0)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IFERROR(__xludf.DUMMYFUNCTION("IMPORTRANGE(""https://docs.google.com/spreadsheets/d/1IYY_tgx_IHuhSq3AJ5eI5OnqOPBNLWSHKh2a30DoXe8/edit?usp=sharing"",""ภูเก็ต!J16"")"),0)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IFERROR(__xludf.DUMMYFUNCTION("IMPORTRANGE(""https://docs.google.com/spreadsheets/d/1IYY_tgx_IHuhSq3AJ5eI5OnqOPBNLWSHKh2a30DoXe8/edit?usp=sharing"",""ภูเก็ต!J17"")"),0)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IFERROR(__xludf.DUMMYFUNCTION("IMPORTRANGE(""https://docs.google.com/spreadsheets/d/1IYY_tgx_IHuhSq3AJ5eI5OnqOPBNLWSHKh2a30DoXe8/edit?usp=sharing"",""ภูเก็ต!J18"")"),0)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IFERROR(__xludf.DUMMYFUNCTION("IMPORTRANGE(""https://docs.google.com/spreadsheets/d/1IYY_tgx_IHuhSq3AJ5eI5OnqOPBNLWSHKh2a30DoXe8/edit?usp=sharing"",""ภูเก็ต!J19"")"),0)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IFERROR(__xludf.DUMMYFUNCTION("IMPORTRANGE(""https://docs.google.com/spreadsheets/d/1IYY_tgx_IHuhSq3AJ5eI5OnqOPBNLWSHKh2a30DoXe8/edit?usp=sharing"",""ภูเก็ต!I20"")"),0)</f>
        <v>0</v>
      </c>
      <c r="J80" s="207">
        <f ca="1">IFERROR(__xludf.DUMMYFUNCTION("IMPORTRANGE(""https://docs.google.com/spreadsheets/d/1IYY_tgx_IHuhSq3AJ5eI5OnqOPBNLWSHKh2a30DoXe8/edit?usp=sharing"",""ภูเก็ต!J20"")"),0)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IFERROR(__xludf.DUMMYFUNCTION("IMPORTRANGE(""https://docs.google.com/spreadsheets/d/1IYY_tgx_IHuhSq3AJ5eI5OnqOPBNLWSHKh2a30DoXe8/edit?usp=sharing"",""ภูเก็ต!I21"")"),0)</f>
        <v>0</v>
      </c>
      <c r="J81" s="207">
        <f ca="1">IFERROR(__xludf.DUMMYFUNCTION("IMPORTRANGE(""https://docs.google.com/spreadsheets/d/1IYY_tgx_IHuhSq3AJ5eI5OnqOPBNLWSHKh2a30DoXe8/edit?usp=sharing"",""ภูเก็ต!J21"")"),0)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IFERROR(__xludf.DUMMYFUNCTION("IMPORTRANGE(""https://docs.google.com/spreadsheets/d/1IYY_tgx_IHuhSq3AJ5eI5OnqOPBNLWSHKh2a30DoXe8/edit?usp=sharing"",""ภูเก็ต!I22"")"),0)</f>
        <v>0</v>
      </c>
      <c r="J82" s="210">
        <f ca="1">IFERROR(__xludf.DUMMYFUNCTION("IMPORTRANGE(""https://docs.google.com/spreadsheets/d/1IYY_tgx_IHuhSq3AJ5eI5OnqOPBNLWSHKh2a30DoXe8/edit?usp=sharing"",""ภูเก็ต!J22"")"),0)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IFERROR(__xludf.DUMMYFUNCTION("IMPORTRANGE(""https://docs.google.com/spreadsheets/d/1IYY_tgx_IHuhSq3AJ5eI5OnqOPBNLWSHKh2a30DoXe8/edit?usp=sharing"",""ภูเก็ต!I23"")"),0)</f>
        <v>0</v>
      </c>
      <c r="J83" s="210">
        <f ca="1">IFERROR(__xludf.DUMMYFUNCTION("IMPORTRANGE(""https://docs.google.com/spreadsheets/d/1IYY_tgx_IHuhSq3AJ5eI5OnqOPBNLWSHKh2a30DoXe8/edit?usp=sharing"",""ภูเก็ต!J23"")"),0)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IFERROR(__xludf.DUMMYFUNCTION("IMPORTRANGE(""https://docs.google.com/spreadsheets/d/1IYY_tgx_IHuhSq3AJ5eI5OnqOPBNLWSHKh2a30DoXe8/edit?usp=sharing"",""ภูเก็ต!I24"")"),0)</f>
        <v>0</v>
      </c>
      <c r="J84" s="195">
        <f ca="1">IFERROR(__xludf.DUMMYFUNCTION("IMPORTRANGE(""https://docs.google.com/spreadsheets/d/1IYY_tgx_IHuhSq3AJ5eI5OnqOPBNLWSHKh2a30DoXe8/edit?usp=sharing"",""ภูเก็ต!J24"")"),0)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IFERROR(__xludf.DUMMYFUNCTION("IMPORTRANGE(""https://docs.google.com/spreadsheets/d/1IYY_tgx_IHuhSq3AJ5eI5OnqOPBNLWSHKh2a30DoXe8/edit?usp=sharing"",""ภูเก็ต!I25"")"),0)</f>
        <v>0</v>
      </c>
      <c r="J85" s="195">
        <f ca="1">IFERROR(__xludf.DUMMYFUNCTION("IMPORTRANGE(""https://docs.google.com/spreadsheets/d/1IYY_tgx_IHuhSq3AJ5eI5OnqOPBNLWSHKh2a30DoXe8/edit?usp=sharing"",""ภูเก็ต!J25"")"),0)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IFERROR(__xludf.DUMMYFUNCTION("IMPORTRANGE(""https://docs.google.com/spreadsheets/d/1IYY_tgx_IHuhSq3AJ5eI5OnqOPBNLWSHKh2a30DoXe8/edit?usp=sharing"",""ภูเก็ต!I26"")"),0)</f>
        <v>0</v>
      </c>
      <c r="J86" s="210">
        <f ca="1">IFERROR(__xludf.DUMMYFUNCTION("IMPORTRANGE(""https://docs.google.com/spreadsheets/d/1IYY_tgx_IHuhSq3AJ5eI5OnqOPBNLWSHKh2a30DoXe8/edit?usp=sharing"",""ภูเก็ต!J26"")"),0)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IFERROR(__xludf.DUMMYFUNCTION("IMPORTRANGE(""https://docs.google.com/spreadsheets/d/1IYY_tgx_IHuhSq3AJ5eI5OnqOPBNLWSHKh2a30DoXe8/edit?usp=sharing"",""ภูเก็ต!I27"")"),0)</f>
        <v>0</v>
      </c>
      <c r="J87" s="210">
        <f ca="1">IFERROR(__xludf.DUMMYFUNCTION("IMPORTRANGE(""https://docs.google.com/spreadsheets/d/1IYY_tgx_IHuhSq3AJ5eI5OnqOPBNLWSHKh2a30DoXe8/edit?usp=sharing"",""ภูเก็ต!J27"")"),0)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IFERROR(__xludf.DUMMYFUNCTION("IMPORTRANGE(""https://docs.google.com/spreadsheets/d/1IYY_tgx_IHuhSq3AJ5eI5OnqOPBNLWSHKh2a30DoXe8/edit?usp=sharing"",""ภูเก็ต!I28"")"),0)</f>
        <v>0</v>
      </c>
      <c r="J88" s="210">
        <f ca="1">IFERROR(__xludf.DUMMYFUNCTION("IMPORTRANGE(""https://docs.google.com/spreadsheets/d/1IYY_tgx_IHuhSq3AJ5eI5OnqOPBNLWSHKh2a30DoXe8/edit?usp=sharing"",""ภูเก็ต!J28"")"),0)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IFERROR(__xludf.DUMMYFUNCTION("IMPORTRANGE(""https://docs.google.com/spreadsheets/d/1IYY_tgx_IHuhSq3AJ5eI5OnqOPBNLWSHKh2a30DoXe8/edit?usp=sharing"",""ภูเก็ต!J29"")"),0)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IFERROR(__xludf.DUMMYFUNCTION("IMPORTRANGE(""https://docs.google.com/spreadsheets/d/1IYY_tgx_IHuhSq3AJ5eI5OnqOPBNLWSHKh2a30DoXe8/edit?usp=sharing"",""ภูเก็ต!J30"")"),0)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25">
      <c r="A97" s="162"/>
      <c r="B97" s="163"/>
      <c r="C97" s="163" t="s">
        <v>16</v>
      </c>
      <c r="D97" s="284" t="s">
        <v>77</v>
      </c>
      <c r="E97" s="171"/>
      <c r="F97" s="171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IFERROR(__xludf.DUMMYFUNCTION("IMPORTRANGE(""https://docs.google.com/spreadsheets/d/1Yj_ptqi66GCucihVvJfMjLAmec39IyEx_6qawtMGysU/edit?usp=sharing"",""สบก!AR89"")"),0)</f>
        <v>0</v>
      </c>
      <c r="N98" s="174">
        <f ca="1">IFERROR(__xludf.DUMMYFUNCTION("IMPORTRANGE(""https://docs.google.com/spreadsheets/d/1Yj_ptqi66GCucihVvJfMjLAmec39IyEx_6qawtMGysU/edit?usp=sharing"",""สบก!AS89"")"),0)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IFERROR(__xludf.DUMMYFUNCTION("IMPORTRANGE(""https://docs.google.com/spreadsheets/d/1Yj_ptqi66GCucihVvJfMjLAmec39IyEx_6qawtMGysU/edit?usp=sharing"",""สบก!AN89"")"),0)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IFERROR(__xludf.DUMMYFUNCTION("IMPORTRANGE(""https://docs.google.com/spreadsheets/d/1Yj_ptqi66GCucihVvJfMjLAmec39IyEx_6qawtMGysU/edit?usp=sharing"",""สบก!AO89"")"),0)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IFERROR(__xludf.DUMMYFUNCTION("IMPORTRANGE(""https://docs.google.com/spreadsheets/d/1IYY_tgx_IHuhSq3AJ5eI5OnqOPBNLWSHKh2a30DoXe8/edit?usp=sharing"",""ภูเก็ต!J39"")"),0)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IFERROR(__xludf.DUMMYFUNCTION("IMPORTRANGE(""https://docs.google.com/spreadsheets/d/1IYY_tgx_IHuhSq3AJ5eI5OnqOPBNLWSHKh2a30DoXe8/edit?usp=sharing"",""ภูเก็ต!J40"")"),0)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IFERROR(__xludf.DUMMYFUNCTION("IMPORTRANGE(""https://docs.google.com/spreadsheets/d/1IYY_tgx_IHuhSq3AJ5eI5OnqOPBNLWSHKh2a30DoXe8/edit?usp=sharing"",""ภูเก็ต!J41"")"),0)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IFERROR(__xludf.DUMMYFUNCTION("IMPORTRANGE(""https://docs.google.com/spreadsheets/d/1IYY_tgx_IHuhSq3AJ5eI5OnqOPBNLWSHKh2a30DoXe8/edit?usp=sharing"",""ภูเก็ต!J42"")"),0)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IFERROR(__xludf.DUMMYFUNCTION("IMPORTRANGE(""https://docs.google.com/spreadsheets/d/1IYY_tgx_IHuhSq3AJ5eI5OnqOPBNLWSHKh2a30DoXe8/edit?usp=sharing"",""ภูเก็ต!I43"")"),0)</f>
        <v>0</v>
      </c>
      <c r="J108" s="210">
        <f ca="1">IFERROR(__xludf.DUMMYFUNCTION("IMPORTRANGE(""https://docs.google.com/spreadsheets/d/1IYY_tgx_IHuhSq3AJ5eI5OnqOPBNLWSHKh2a30DoXe8/edit?usp=sharing"",""ภูเก็ต!J43"")"),0)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IFERROR(__xludf.DUMMYFUNCTION("IMPORTRANGE(""https://docs.google.com/spreadsheets/d/1IYY_tgx_IHuhSq3AJ5eI5OnqOPBNLWSHKh2a30DoXe8/edit?usp=sharing"",""ภูเก็ต!I44"")"),0)</f>
        <v>0</v>
      </c>
      <c r="J109" s="210">
        <f ca="1">IFERROR(__xludf.DUMMYFUNCTION("IMPORTRANGE(""https://docs.google.com/spreadsheets/d/1IYY_tgx_IHuhSq3AJ5eI5OnqOPBNLWSHKh2a30DoXe8/edit?usp=sharing"",""ภูเก็ต!J44"")"),0)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IFERROR(__xludf.DUMMYFUNCTION("IMPORTRANGE(""https://docs.google.com/spreadsheets/d/1IYY_tgx_IHuhSq3AJ5eI5OnqOPBNLWSHKh2a30DoXe8/edit?usp=sharing"",""ภูเก็ต!I45"")"),0)</f>
        <v>0</v>
      </c>
      <c r="J110" s="210">
        <f ca="1">IFERROR(__xludf.DUMMYFUNCTION("IMPORTRANGE(""https://docs.google.com/spreadsheets/d/1IYY_tgx_IHuhSq3AJ5eI5OnqOPBNLWSHKh2a30DoXe8/edit?usp=sharing"",""ภูเก็ต!J45"")"),0)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IFERROR(__xludf.DUMMYFUNCTION("IMPORTRANGE(""https://docs.google.com/spreadsheets/d/1IYY_tgx_IHuhSq3AJ5eI5OnqOPBNLWSHKh2a30DoXe8/edit?usp=sharing"",""ภูเก็ต!I46"")"),0)</f>
        <v>0</v>
      </c>
      <c r="J111" s="210">
        <f ca="1">IFERROR(__xludf.DUMMYFUNCTION("IMPORTRANGE(""https://docs.google.com/spreadsheets/d/1IYY_tgx_IHuhSq3AJ5eI5OnqOPBNLWSHKh2a30DoXe8/edit?usp=sharing"",""ภูเก็ต!J46"")"),0)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IFERROR(__xludf.DUMMYFUNCTION("IMPORTRANGE(""https://docs.google.com/spreadsheets/d/1IYY_tgx_IHuhSq3AJ5eI5OnqOPBNLWSHKh2a30DoXe8/edit?usp=sharing"",""ภูเก็ต!I47"")"),0)</f>
        <v>0</v>
      </c>
      <c r="J112" s="210">
        <f ca="1">IFERROR(__xludf.DUMMYFUNCTION("IMPORTRANGE(""https://docs.google.com/spreadsheets/d/1IYY_tgx_IHuhSq3AJ5eI5OnqOPBNLWSHKh2a30DoXe8/edit?usp=sharing"",""ภูเก็ต!J47"")"),0)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IFERROR(__xludf.DUMMYFUNCTION("IMPORTRANGE(""https://docs.google.com/spreadsheets/d/1IYY_tgx_IHuhSq3AJ5eI5OnqOPBNLWSHKh2a30DoXe8/edit?usp=sharing"",""ภูเก็ต!I48"")"),0)</f>
        <v>0</v>
      </c>
      <c r="J113" s="210">
        <f ca="1">IFERROR(__xludf.DUMMYFUNCTION("IMPORTRANGE(""https://docs.google.com/spreadsheets/d/1IYY_tgx_IHuhSq3AJ5eI5OnqOPBNLWSHKh2a30DoXe8/edit?usp=sharing"",""ภูเก็ต!J48"")"),0)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IFERROR(__xludf.DUMMYFUNCTION("IMPORTRANGE(""https://docs.google.com/spreadsheets/d/1IYY_tgx_IHuhSq3AJ5eI5OnqOPBNLWSHKh2a30DoXe8/edit?usp=sharing"",""ภูเก็ต!J49"")"),0)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IFERROR(__xludf.DUMMYFUNCTION("IMPORTRANGE(""https://docs.google.com/spreadsheets/d/1IYY_tgx_IHuhSq3AJ5eI5OnqOPBNLWSHKh2a30DoXe8/edit?usp=sharing"",""ภูเก็ต!J50"")"),0)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IFERROR(__xludf.DUMMYFUNCTION("IMPORTRANGE(""https://docs.google.com/spreadsheets/d/1Yj_ptqi66GCucihVvJfMjLAmec39IyEx_6qawtMGysU/edit?usp=sharing"",""สบก!BA89"")"),0)</f>
        <v>0</v>
      </c>
      <c r="N122" s="174">
        <f ca="1">IFERROR(__xludf.DUMMYFUNCTION("IMPORTRANGE(""https://docs.google.com/spreadsheets/d/1Yj_ptqi66GCucihVvJfMjLAmec39IyEx_6qawtMGysU/edit?usp=sharing"",""สบก!BB89"")"),0)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IFERROR(__xludf.DUMMYFUNCTION("IMPORTRANGE(""https://docs.google.com/spreadsheets/d/1Yj_ptqi66GCucihVvJfMjLAmec39IyEx_6qawtMGysU/edit?usp=sharing"",""สบก!AW89"")"),0)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IFERROR(__xludf.DUMMYFUNCTION("IMPORTRANGE(""https://docs.google.com/spreadsheets/d/1Yj_ptqi66GCucihVvJfMjLAmec39IyEx_6qawtMGysU/edit?usp=sharing"",""สบก!AX89"")"),0)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IFERROR(__xludf.DUMMYFUNCTION("IMPORTRANGE(""https://docs.google.com/spreadsheets/d/1IYY_tgx_IHuhSq3AJ5eI5OnqOPBNLWSHKh2a30DoXe8/edit?usp=sharing"",""ภูเก็ต!J58"")"),0)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IFERROR(__xludf.DUMMYFUNCTION("IMPORTRANGE(""https://docs.google.com/spreadsheets/d/1IYY_tgx_IHuhSq3AJ5eI5OnqOPBNLWSHKh2a30DoXe8/edit?usp=sharing"",""ภูเก็ต!J59"")"),0)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IFERROR(__xludf.DUMMYFUNCTION("IMPORTRANGE(""https://docs.google.com/spreadsheets/d/1IYY_tgx_IHuhSq3AJ5eI5OnqOPBNLWSHKh2a30DoXe8/edit?usp=sharing"",""ภูเก็ต!J60"")"),0)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IFERROR(__xludf.DUMMYFUNCTION("IMPORTRANGE(""https://docs.google.com/spreadsheets/d/1IYY_tgx_IHuhSq3AJ5eI5OnqOPBNLWSHKh2a30DoXe8/edit?usp=sharing"",""ภูเก็ต!J61"")"),0)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IFERROR(__xludf.DUMMYFUNCTION("IMPORTRANGE(""https://docs.google.com/spreadsheets/d/1IYY_tgx_IHuhSq3AJ5eI5OnqOPBNLWSHKh2a30DoXe8/edit?usp=sharing"",""ภูเก็ต!I62"")"),0)</f>
        <v>0</v>
      </c>
      <c r="J132" s="210">
        <f ca="1">IFERROR(__xludf.DUMMYFUNCTION("IMPORTRANGE(""https://docs.google.com/spreadsheets/d/1IYY_tgx_IHuhSq3AJ5eI5OnqOPBNLWSHKh2a30DoXe8/edit?usp=sharing"",""ภูเก็ต!J62"")"),0)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IFERROR(__xludf.DUMMYFUNCTION("IMPORTRANGE(""https://docs.google.com/spreadsheets/d/1IYY_tgx_IHuhSq3AJ5eI5OnqOPBNLWSHKh2a30DoXe8/edit?usp=sharing"",""ภูเก็ต!I63"")"),0)</f>
        <v>0</v>
      </c>
      <c r="J133" s="210">
        <f ca="1">IFERROR(__xludf.DUMMYFUNCTION("IMPORTRANGE(""https://docs.google.com/spreadsheets/d/1IYY_tgx_IHuhSq3AJ5eI5OnqOPBNLWSHKh2a30DoXe8/edit?usp=sharing"",""ภูเก็ต!J63"")"),0)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IFERROR(__xludf.DUMMYFUNCTION("IMPORTRANGE(""https://docs.google.com/spreadsheets/d/1IYY_tgx_IHuhSq3AJ5eI5OnqOPBNLWSHKh2a30DoXe8/edit?usp=sharing"",""ภูเก็ต!J64"")"),0)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IFERROR(__xludf.DUMMYFUNCTION("IMPORTRANGE(""https://docs.google.com/spreadsheets/d/1IYY_tgx_IHuhSq3AJ5eI5OnqOPBNLWSHKh2a30DoXe8/edit?usp=sharing"",""ภูเก็ต!J65"")"),0)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IFERROR(__xludf.DUMMYFUNCTION("IMPORTRANGE(""https://docs.google.com/spreadsheets/d/1IYY_tgx_IHuhSq3AJ5eI5OnqOPBNLWSHKh2a30DoXe8/edit?usp=sharing"",""ภูเก็ต!I68"")"),0)</f>
        <v>0</v>
      </c>
      <c r="J138" s="273">
        <f ca="1">IFERROR(__xludf.DUMMYFUNCTION("IMPORTRANGE(""https://docs.google.com/spreadsheets/d/1IYY_tgx_IHuhSq3AJ5eI5OnqOPBNLWSHKh2a30DoXe8/edit?usp=sharing"",""ภูเก็ต!J68"")"),0)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21500</v>
      </c>
      <c r="M140" s="156">
        <f t="shared" ca="1" si="64"/>
        <v>27187</v>
      </c>
      <c r="N140" s="156">
        <f t="shared" ca="1" si="64"/>
        <v>24767</v>
      </c>
      <c r="O140" s="155">
        <f t="shared" ref="O140:O142" ca="1" si="65">IF(L140&gt;0,N140*100/L140,0)</f>
        <v>115.19534883720931</v>
      </c>
      <c r="P140" s="155">
        <f t="shared" ref="P140:P142" ca="1" si="66">IF(M140&gt;0,N140*100/M140,0)</f>
        <v>91.098686872402254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21500</v>
      </c>
      <c r="M142" s="161">
        <f t="shared" ca="1" si="68"/>
        <v>27187</v>
      </c>
      <c r="N142" s="161">
        <f t="shared" ca="1" si="68"/>
        <v>24767</v>
      </c>
      <c r="O142" s="160">
        <f t="shared" ca="1" si="65"/>
        <v>115.19534883720931</v>
      </c>
      <c r="P142" s="160">
        <f t="shared" ca="1" si="66"/>
        <v>91.098686872402254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21500</v>
      </c>
      <c r="M144" s="173">
        <f ca="1">IFERROR(__xludf.DUMMYFUNCTION("IMPORTRANGE(""https://docs.google.com/spreadsheets/d/1Yj_ptqi66GCucihVvJfMjLAmec39IyEx_6qawtMGysU/edit?usp=sharing"",""สบก!BJ89"")"),27187)</f>
        <v>27187</v>
      </c>
      <c r="N144" s="174">
        <f ca="1">IFERROR(__xludf.DUMMYFUNCTION("IMPORTRANGE(""https://docs.google.com/spreadsheets/d/1Yj_ptqi66GCucihVvJfMjLAmec39IyEx_6qawtMGysU/edit?usp=sharing"",""สบก!BK89"")"),24767)</f>
        <v>24767</v>
      </c>
      <c r="O144" s="175">
        <f ca="1">IF(L144&gt;0,N144*100/L144,0)</f>
        <v>115.19534883720931</v>
      </c>
      <c r="P144" s="175">
        <f ca="1">IF(M144&gt;0,N144*100/M144,0)</f>
        <v>91.098686872402254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IFERROR(__xludf.DUMMYFUNCTION("IMPORTRANGE(""https://docs.google.com/spreadsheets/d/1Yj_ptqi66GCucihVvJfMjLAmec39IyEx_6qawtMGysU/edit?usp=sharing"",""สบก!BF89"")"),0)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IFERROR(__xludf.DUMMYFUNCTION("IMPORTRANGE(""https://docs.google.com/spreadsheets/d/1Yj_ptqi66GCucihVvJfMjLAmec39IyEx_6qawtMGysU/edit?usp=sharing"",""สบก!BG89"")"),21500)</f>
        <v>21500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IFERROR(__xludf.DUMMYFUNCTION("IMPORTRANGE(""https://docs.google.com/spreadsheets/d/1IYY_tgx_IHuhSq3AJ5eI5OnqOPBNLWSHKh2a30DoXe8/edit?usp=sharing"",""ภูเก็ต!I74"")"),4)</f>
        <v>4</v>
      </c>
      <c r="J149" s="281">
        <f ca="1">IFERROR(__xludf.DUMMYFUNCTION("IMPORTRANGE(""https://docs.google.com/spreadsheets/d/1IYY_tgx_IHuhSq3AJ5eI5OnqOPBNLWSHKh2a30DoXe8/edit?usp=sharing"",""ภูเก็ต!J74"")"),3)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IFERROR(__xludf.DUMMYFUNCTION("IMPORTRANGE(""https://docs.google.com/spreadsheets/d/1IYY_tgx_IHuhSq3AJ5eI5OnqOPBNLWSHKh2a30DoXe8/edit?usp=sharing"",""ภูเก็ต!J79"")"),0)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IFERROR(__xludf.DUMMYFUNCTION("IMPORTRANGE(""https://docs.google.com/spreadsheets/d/1IYY_tgx_IHuhSq3AJ5eI5OnqOPBNLWSHKh2a30DoXe8/edit?usp=sharing"",""ภูเก็ต!J80"")"),1)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IFERROR(__xludf.DUMMYFUNCTION("IMPORTRANGE(""https://docs.google.com/spreadsheets/d/1IYY_tgx_IHuhSq3AJ5eI5OnqOPBNLWSHKh2a30DoXe8/edit?usp=sharing"",""ภูเก็ต!J81"")"),1)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IFERROR(__xludf.DUMMYFUNCTION("IMPORTRANGE(""https://docs.google.com/spreadsheets/d/1IYY_tgx_IHuhSq3AJ5eI5OnqOPBNLWSHKh2a30DoXe8/edit?usp=sharing"",""ภูเก็ต!J82"")"),1)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IFERROR(__xludf.DUMMYFUNCTION("IMPORTRANGE(""https://docs.google.com/spreadsheets/d/1IYY_tgx_IHuhSq3AJ5eI5OnqOPBNLWSHKh2a30DoXe8/edit?usp=sharing"",""ภูเก็ต!I83"")"),4)</f>
        <v>4</v>
      </c>
      <c r="J158" s="195">
        <f ca="1">IFERROR(__xludf.DUMMYFUNCTION("IMPORTRANGE(""https://docs.google.com/spreadsheets/d/1IYY_tgx_IHuhSq3AJ5eI5OnqOPBNLWSHKh2a30DoXe8/edit?usp=sharing"",""ภูเก็ต!J83"")"),3)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IFERROR(__xludf.DUMMYFUNCTION("IMPORTRANGE(""https://docs.google.com/spreadsheets/d/1IYY_tgx_IHuhSq3AJ5eI5OnqOPBNLWSHKh2a30DoXe8/edit?usp=sharing"",""ภูเก็ต!J84"")"),89)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IFERROR(__xludf.DUMMYFUNCTION("IMPORTRANGE(""https://docs.google.com/spreadsheets/d/1IYY_tgx_IHuhSq3AJ5eI5OnqOPBNLWSHKh2a30DoXe8/edit?usp=sharing"",""ภูเก็ต!J85"")"),89)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IFERROR(__xludf.DUMMYFUNCTION("IMPORTRANGE(""https://docs.google.com/spreadsheets/d/1IYY_tgx_IHuhSq3AJ5eI5OnqOPBNLWSHKh2a30DoXe8/edit?usp=sharing"",""ภูเก็ต!J87"")"),0)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IFERROR(__xludf.DUMMYFUNCTION("IMPORTRANGE(""https://docs.google.com/spreadsheets/d/1IYY_tgx_IHuhSq3AJ5eI5OnqOPBNLWSHKh2a30DoXe8/edit?usp=sharing"",""ภูเก็ต!J88"")"),0)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IFERROR(__xludf.DUMMYFUNCTION("IMPORTRANGE(""https://docs.google.com/spreadsheets/d/1IYY_tgx_IHuhSq3AJ5eI5OnqOPBNLWSHKh2a30DoXe8/edit?usp=sharing"",""ภูเก็ต!J94"")"),0)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IFERROR(__xludf.DUMMYFUNCTION("IMPORTRANGE(""https://docs.google.com/spreadsheets/d/1IYY_tgx_IHuhSq3AJ5eI5OnqOPBNLWSHKh2a30DoXe8/edit?usp=sharing"",""ภูเก็ต!J95"")"),1)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IFERROR(__xludf.DUMMYFUNCTION("IMPORTRANGE(""https://docs.google.com/spreadsheets/d/1IYY_tgx_IHuhSq3AJ5eI5OnqOPBNLWSHKh2a30DoXe8/edit?usp=sharing"",""ภูเก็ต!J96"")"),1)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IFERROR(__xludf.DUMMYFUNCTION("IMPORTRANGE(""https://docs.google.com/spreadsheets/d/1IYY_tgx_IHuhSq3AJ5eI5OnqOPBNLWSHKh2a30DoXe8/edit?usp=sharing"",""ภูเก็ต!J97"")"),1)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IFERROR(__xludf.DUMMYFUNCTION("IMPORTRANGE(""https://docs.google.com/spreadsheets/d/1IYY_tgx_IHuhSq3AJ5eI5OnqOPBNLWSHKh2a30DoXe8/edit?usp=sharing"",""ภูเก็ต!I98"")"),1)</f>
        <v>1</v>
      </c>
      <c r="J173" s="195">
        <f ca="1">IFERROR(__xludf.DUMMYFUNCTION("IMPORTRANGE(""https://docs.google.com/spreadsheets/d/1IYY_tgx_IHuhSq3AJ5eI5OnqOPBNLWSHKh2a30DoXe8/edit?usp=sharing"",""ภูเก็ต!J98"")"),1)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IFERROR(__xludf.DUMMYFUNCTION("IMPORTRANGE(""https://docs.google.com/spreadsheets/d/1IYY_tgx_IHuhSq3AJ5eI5OnqOPBNLWSHKh2a30DoXe8/edit?usp=sharing"",""ภูเก็ต!J99"")"),0)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IFERROR(__xludf.DUMMYFUNCTION("IMPORTRANGE(""https://docs.google.com/spreadsheets/d/1IYY_tgx_IHuhSq3AJ5eI5OnqOPBNLWSHKh2a30DoXe8/edit?usp=sharing"",""ภูเก็ต!J100"")"),0)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IFERROR(__xludf.DUMMYFUNCTION("IMPORTRANGE(""https://docs.google.com/spreadsheets/d/1IYY_tgx_IHuhSq3AJ5eI5OnqOPBNLWSHKh2a30DoXe8/edit?usp=sharing"",""ภูเก็ต!J106"")"),0)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IFERROR(__xludf.DUMMYFUNCTION("IMPORTRANGE(""https://docs.google.com/spreadsheets/d/1IYY_tgx_IHuhSq3AJ5eI5OnqOPBNLWSHKh2a30DoXe8/edit?usp=sharing"",""ภูเก็ต!J107"")"),0)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IFERROR(__xludf.DUMMYFUNCTION("IMPORTRANGE(""https://docs.google.com/spreadsheets/d/1IYY_tgx_IHuhSq3AJ5eI5OnqOPBNLWSHKh2a30DoXe8/edit?usp=sharing"",""ภูเก็ต!J108"")"),0)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IFERROR(__xludf.DUMMYFUNCTION("IMPORTRANGE(""https://docs.google.com/spreadsheets/d/1IYY_tgx_IHuhSq3AJ5eI5OnqOPBNLWSHKh2a30DoXe8/edit?usp=sharing"",""ภูเก็ต!J109"")"),0)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IFERROR(__xludf.DUMMYFUNCTION("IMPORTRANGE(""https://docs.google.com/spreadsheets/d/1IYY_tgx_IHuhSq3AJ5eI5OnqOPBNLWSHKh2a30DoXe8/edit?usp=sharing"",""ภูเก็ต!I110"")"),0)</f>
        <v>0</v>
      </c>
      <c r="J185" s="210">
        <f ca="1">IFERROR(__xludf.DUMMYFUNCTION("IMPORTRANGE(""https://docs.google.com/spreadsheets/d/1IYY_tgx_IHuhSq3AJ5eI5OnqOPBNLWSHKh2a30DoXe8/edit?usp=sharing"",""ภูเก็ต!J110"")"),0)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IFERROR(__xludf.DUMMYFUNCTION("IMPORTRANGE(""https://docs.google.com/spreadsheets/d/1IYY_tgx_IHuhSq3AJ5eI5OnqOPBNLWSHKh2a30DoXe8/edit?usp=sharing"",""ภูเก็ต!I111"")"),0)</f>
        <v>0</v>
      </c>
      <c r="J186" s="210">
        <f ca="1">IFERROR(__xludf.DUMMYFUNCTION("IMPORTRANGE(""https://docs.google.com/spreadsheets/d/1IYY_tgx_IHuhSq3AJ5eI5OnqOPBNLWSHKh2a30DoXe8/edit?usp=sharing"",""ภูเก็ต!J111"")"),0)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IFERROR(__xludf.DUMMYFUNCTION("IMPORTRANGE(""https://docs.google.com/spreadsheets/d/1IYY_tgx_IHuhSq3AJ5eI5OnqOPBNLWSHKh2a30DoXe8/edit?usp=sharing"",""ภูเก็ต!J112"")"),0)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IFERROR(__xludf.DUMMYFUNCTION("IMPORTRANGE(""https://docs.google.com/spreadsheets/d/1IYY_tgx_IHuhSq3AJ5eI5OnqOPBNLWSHKh2a30DoXe8/edit?usp=sharing"",""ภูเก็ต!J113"")"),0)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IFERROR(__xludf.DUMMYFUNCTION("IMPORTRANGE(""https://docs.google.com/spreadsheets/d/1IYY_tgx_IHuhSq3AJ5eI5OnqOPBNLWSHKh2a30DoXe8/edit?usp=sharing"",""ภูเก็ต!J119"")"),0)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IFERROR(__xludf.DUMMYFUNCTION("IMPORTRANGE(""https://docs.google.com/spreadsheets/d/1IYY_tgx_IHuhSq3AJ5eI5OnqOPBNLWSHKh2a30DoXe8/edit?usp=sharing"",""ภูเก็ต!J120"")"),0)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IFERROR(__xludf.DUMMYFUNCTION("IMPORTRANGE(""https://docs.google.com/spreadsheets/d/1IYY_tgx_IHuhSq3AJ5eI5OnqOPBNLWSHKh2a30DoXe8/edit?usp=sharing"",""ภูเก็ต!J121"")"),0)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IFERROR(__xludf.DUMMYFUNCTION("IMPORTRANGE(""https://docs.google.com/spreadsheets/d/1IYY_tgx_IHuhSq3AJ5eI5OnqOPBNLWSHKh2a30DoXe8/edit?usp=sharing"",""ภูเก็ต!J122"")"),0)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IFERROR(__xludf.DUMMYFUNCTION("IMPORTRANGE(""https://docs.google.com/spreadsheets/d/1IYY_tgx_IHuhSq3AJ5eI5OnqOPBNLWSHKh2a30DoXe8/edit?usp=sharing"",""ภูเก็ต!I124"")"),0)</f>
        <v>0</v>
      </c>
      <c r="J199" s="195">
        <f ca="1">IFERROR(__xludf.DUMMYFUNCTION("IMPORTRANGE(""https://docs.google.com/spreadsheets/d/1IYY_tgx_IHuhSq3AJ5eI5OnqOPBNLWSHKh2a30DoXe8/edit?usp=sharing"",""ภูเก็ต!J124"")"),0)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IFERROR(__xludf.DUMMYFUNCTION("IMPORTRANGE(""https://docs.google.com/spreadsheets/d/1IYY_tgx_IHuhSq3AJ5eI5OnqOPBNLWSHKh2a30DoXe8/edit?usp=sharing"",""ภูเก็ต!I125"")"),0)</f>
        <v>0</v>
      </c>
      <c r="J200" s="195">
        <f ca="1">IFERROR(__xludf.DUMMYFUNCTION("IMPORTRANGE(""https://docs.google.com/spreadsheets/d/1IYY_tgx_IHuhSq3AJ5eI5OnqOPBNLWSHKh2a30DoXe8/edit?usp=sharing"",""ภูเก็ต!J125"")"),0)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IFERROR(__xludf.DUMMYFUNCTION("IMPORTRANGE(""https://docs.google.com/spreadsheets/d/1IYY_tgx_IHuhSq3AJ5eI5OnqOPBNLWSHKh2a30DoXe8/edit?usp=sharing"",""ภูเก็ต!I126"")"),0)</f>
        <v>0</v>
      </c>
      <c r="J201" s="195">
        <f ca="1">IFERROR(__xludf.DUMMYFUNCTION("IMPORTRANGE(""https://docs.google.com/spreadsheets/d/1IYY_tgx_IHuhSq3AJ5eI5OnqOPBNLWSHKh2a30DoXe8/edit?usp=sharing"",""ภูเก็ต!J126"")"),0)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IFERROR(__xludf.DUMMYFUNCTION("IMPORTRANGE(""https://docs.google.com/spreadsheets/d/1IYY_tgx_IHuhSq3AJ5eI5OnqOPBNLWSHKh2a30DoXe8/edit?usp=sharing"",""ภูเก็ต!J127"")"),0)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IFERROR(__xludf.DUMMYFUNCTION("IMPORTRANGE(""https://docs.google.com/spreadsheets/d/1IYY_tgx_IHuhSq3AJ5eI5OnqOPBNLWSHKh2a30DoXe8/edit?usp=sharing"",""ภูเก็ต!J134"")"),0)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IFERROR(__xludf.DUMMYFUNCTION("IMPORTRANGE(""https://docs.google.com/spreadsheets/d/1IYY_tgx_IHuhSq3AJ5eI5OnqOPBNLWSHKh2a30DoXe8/edit?usp=sharing"",""ภูเก็ต!J135"")"),0)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IFERROR(__xludf.DUMMYFUNCTION("IMPORTRANGE(""https://docs.google.com/spreadsheets/d/1IYY_tgx_IHuhSq3AJ5eI5OnqOPBNLWSHKh2a30DoXe8/edit?usp=sharing"",""ภูเก็ต!J136"")"),0)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IFERROR(__xludf.DUMMYFUNCTION("IMPORTRANGE(""https://docs.google.com/spreadsheets/d/1IYY_tgx_IHuhSq3AJ5eI5OnqOPBNLWSHKh2a30DoXe8/edit?usp=sharing"",""ภูเก็ต!J137"")"),0)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IFERROR(__xludf.DUMMYFUNCTION("IMPORTRANGE(""https://docs.google.com/spreadsheets/d/1IYY_tgx_IHuhSq3AJ5eI5OnqOPBNLWSHKh2a30DoXe8/edit?usp=sharing"",""ภูเก็ต!I138"")"),0)</f>
        <v>0</v>
      </c>
      <c r="J213" s="210">
        <f ca="1">IFERROR(__xludf.DUMMYFUNCTION("IMPORTRANGE(""https://docs.google.com/spreadsheets/d/1IYY_tgx_IHuhSq3AJ5eI5OnqOPBNLWSHKh2a30DoXe8/edit?usp=sharing"",""ภูเก็ต!J138"")"),0)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IFERROR(__xludf.DUMMYFUNCTION("IMPORTRANGE(""https://docs.google.com/spreadsheets/d/1IYY_tgx_IHuhSq3AJ5eI5OnqOPBNLWSHKh2a30DoXe8/edit?usp=sharing"",""ภูเก็ต!I140"")"),0)</f>
        <v>0</v>
      </c>
      <c r="J215" s="210">
        <f ca="1">IFERROR(__xludf.DUMMYFUNCTION("IMPORTRANGE(""https://docs.google.com/spreadsheets/d/1IYY_tgx_IHuhSq3AJ5eI5OnqOPBNLWSHKh2a30DoXe8/edit?usp=sharing"",""ภูเก็ต!J140"")"),0)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IFERROR(__xludf.DUMMYFUNCTION("IMPORTRANGE(""https://docs.google.com/spreadsheets/d/1IYY_tgx_IHuhSq3AJ5eI5OnqOPBNLWSHKh2a30DoXe8/edit?usp=sharing"",""ภูเก็ต!I141"")"),0)</f>
        <v>0</v>
      </c>
      <c r="J216" s="210">
        <f ca="1">IFERROR(__xludf.DUMMYFUNCTION("IMPORTRANGE(""https://docs.google.com/spreadsheets/d/1IYY_tgx_IHuhSq3AJ5eI5OnqOPBNLWSHKh2a30DoXe8/edit?usp=sharing"",""ภูเก็ต!J141"")"),0)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IFERROR(__xludf.DUMMYFUNCTION("IMPORTRANGE(""https://docs.google.com/spreadsheets/d/1IYY_tgx_IHuhSq3AJ5eI5OnqOPBNLWSHKh2a30DoXe8/edit?usp=sharing"",""ภูเก็ต!J142"")"),0)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IFERROR(__xludf.DUMMYFUNCTION("IMPORTRANGE(""https://docs.google.com/spreadsheets/d/1IYY_tgx_IHuhSq3AJ5eI5OnqOPBNLWSHKh2a30DoXe8/edit?usp=sharing"",""ภูเก็ต!J143"")"),0)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IFERROR(__xludf.DUMMYFUNCTION("IMPORTRANGE(""https://docs.google.com/spreadsheets/d/1IYY_tgx_IHuhSq3AJ5eI5OnqOPBNLWSHKh2a30DoXe8/edit?usp=sharing"",""ภูเก็ต!I144"")"),13)</f>
        <v>13</v>
      </c>
      <c r="J219" s="273">
        <f ca="1">IFERROR(__xludf.DUMMYFUNCTION("IMPORTRANGE(""https://docs.google.com/spreadsheets/d/1IYY_tgx_IHuhSq3AJ5eI5OnqOPBNLWSHKh2a30DoXe8/edit?usp=sharing"",""ภูเก็ต!J144"")"),13)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IFERROR(__xludf.DUMMYFUNCTION("IMPORTRANGE(""https://docs.google.com/spreadsheets/d/1Yj_ptqi66GCucihVvJfMjLAmec39IyEx_6qawtMGysU/edit?usp=sharing"",""สบก!BS89"")"),19295)</f>
        <v>19295</v>
      </c>
      <c r="N224" s="174">
        <f ca="1">IFERROR(__xludf.DUMMYFUNCTION("IMPORTRANGE(""https://docs.google.com/spreadsheets/d/1Yj_ptqi66GCucihVvJfMjLAmec39IyEx_6qawtMGysU/edit?usp=sharing"",""สบก!BT89"")"),19295)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IFERROR(__xludf.DUMMYFUNCTION("IMPORTRANGE(""https://docs.google.com/spreadsheets/d/1Yj_ptqi66GCucihVvJfMjLAmec39IyEx_6qawtMGysU/edit?usp=sharing"",""สบก!BO89"")"),0)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IFERROR(__xludf.DUMMYFUNCTION("IMPORTRANGE(""https://docs.google.com/spreadsheets/d/1Yj_ptqi66GCucihVvJfMjLAmec39IyEx_6qawtMGysU/edit?usp=sharing"",""สบก!BP89"")"),19295)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IFERROR(__xludf.DUMMYFUNCTION("IMPORTRANGE(""https://docs.google.com/spreadsheets/d/1IYY_tgx_IHuhSq3AJ5eI5OnqOPBNLWSHKh2a30DoXe8/edit?usp=sharing"",""ภูเก็ต!I149"")"),13)</f>
        <v>13</v>
      </c>
      <c r="J229" s="273">
        <f ca="1">IFERROR(__xludf.DUMMYFUNCTION("IMPORTRANGE(""https://docs.google.com/spreadsheets/d/1IYY_tgx_IHuhSq3AJ5eI5OnqOPBNLWSHKh2a30DoXe8/edit?usp=sharing"",""ภูเก็ต!J149"")"),13)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IFERROR(__xludf.DUMMYFUNCTION("IMPORTRANGE(""https://docs.google.com/spreadsheets/d/1IYY_tgx_IHuhSq3AJ5eI5OnqOPBNLWSHKh2a30DoXe8/edit?usp=sharing"",""ภูเก็ต!J151"")"),0)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IFERROR(__xludf.DUMMYFUNCTION("IMPORTRANGE(""https://docs.google.com/spreadsheets/d/1IYY_tgx_IHuhSq3AJ5eI5OnqOPBNLWSHKh2a30DoXe8/edit?usp=sharing"",""ภูเก็ต!J152"")"),1)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IFERROR(__xludf.DUMMYFUNCTION("IMPORTRANGE(""https://docs.google.com/spreadsheets/d/1IYY_tgx_IHuhSq3AJ5eI5OnqOPBNLWSHKh2a30DoXe8/edit?usp=sharing"",""ภูเก็ต!J153"")"),1)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IFERROR(__xludf.DUMMYFUNCTION("IMPORTRANGE(""https://docs.google.com/spreadsheets/d/1IYY_tgx_IHuhSq3AJ5eI5OnqOPBNLWSHKh2a30DoXe8/edit?usp=sharing"",""ภูเก็ต!J154"")"),1)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IFERROR(__xludf.DUMMYFUNCTION("IMPORTRANGE(""https://docs.google.com/spreadsheets/d/1IYY_tgx_IHuhSq3AJ5eI5OnqOPBNLWSHKh2a30DoXe8/edit?usp=sharing"",""ภูเก็ต!I155"")"),13)</f>
        <v>13</v>
      </c>
      <c r="J235" s="195">
        <f ca="1">IFERROR(__xludf.DUMMYFUNCTION("IMPORTRANGE(""https://docs.google.com/spreadsheets/d/1IYY_tgx_IHuhSq3AJ5eI5OnqOPBNLWSHKh2a30DoXe8/edit?usp=sharing"",""ภูเก็ต!J155"")"),13)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IFERROR(__xludf.DUMMYFUNCTION("IMPORTRANGE(""https://docs.google.com/spreadsheets/d/1IYY_tgx_IHuhSq3AJ5eI5OnqOPBNLWSHKh2a30DoXe8/edit?usp=sharing"",""ภูเก็ต!J156"")"),0)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IFERROR(__xludf.DUMMYFUNCTION("IMPORTRANGE(""https://docs.google.com/spreadsheets/d/1IYY_tgx_IHuhSq3AJ5eI5OnqOPBNLWSHKh2a30DoXe8/edit?usp=sharing"",""ภูเก็ต!J157"")"),0)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IFERROR(__xludf.DUMMYFUNCTION("IMPORTRANGE(""https://docs.google.com/spreadsheets/d/1IYY_tgx_IHuhSq3AJ5eI5OnqOPBNLWSHKh2a30DoXe8/edit?usp=sharing"",""ภูเก็ต!I158"")"),0)</f>
        <v>0</v>
      </c>
      <c r="J238" s="273">
        <f ca="1">IFERROR(__xludf.DUMMYFUNCTION("IMPORTRANGE(""https://docs.google.com/spreadsheets/d/1IYY_tgx_IHuhSq3AJ5eI5OnqOPBNLWSHKh2a30DoXe8/edit?usp=sharing"",""ภูเก็ต!J158"")"),0)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IFERROR(__xludf.DUMMYFUNCTION("IMPORTRANGE(""https://docs.google.com/spreadsheets/d/1IYY_tgx_IHuhSq3AJ5eI5OnqOPBNLWSHKh2a30DoXe8/edit?usp=sharing"",""ภูเก็ต!J159"")"),"")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IFERROR(__xludf.DUMMYFUNCTION("IMPORTRANGE(""https://docs.google.com/spreadsheets/d/1IYY_tgx_IHuhSq3AJ5eI5OnqOPBNLWSHKh2a30DoXe8/edit?usp=sharing"",""ภูเก็ต!J161"")"),0)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IFERROR(__xludf.DUMMYFUNCTION("IMPORTRANGE(""https://docs.google.com/spreadsheets/d/1IYY_tgx_IHuhSq3AJ5eI5OnqOPBNLWSHKh2a30DoXe8/edit?usp=sharing"",""ภูเก็ต!J162"")"),0)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IFERROR(__xludf.DUMMYFUNCTION("IMPORTRANGE(""https://docs.google.com/spreadsheets/d/1IYY_tgx_IHuhSq3AJ5eI5OnqOPBNLWSHKh2a30DoXe8/edit?usp=sharing"",""ภูเก็ต!J163"")"),0)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IFERROR(__xludf.DUMMYFUNCTION("IMPORTRANGE(""https://docs.google.com/spreadsheets/d/1IYY_tgx_IHuhSq3AJ5eI5OnqOPBNLWSHKh2a30DoXe8/edit?usp=sharing"",""ภูเก็ต!I164"")"),0)</f>
        <v>0</v>
      </c>
      <c r="J244" s="194">
        <f ca="1">IFERROR(__xludf.DUMMYFUNCTION("IMPORTRANGE(""https://docs.google.com/spreadsheets/d/1IYY_tgx_IHuhSq3AJ5eI5OnqOPBNLWSHKh2a30DoXe8/edit?usp=sharing"",""ภูเก็ต!J164"")"),0)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IFERROR(__xludf.DUMMYFUNCTION("IMPORTRANGE(""https://docs.google.com/spreadsheets/d/1IYY_tgx_IHuhSq3AJ5eI5OnqOPBNLWSHKh2a30DoXe8/edit?usp=sharing"",""ภูเก็ต!J165"")"),0)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IFERROR(__xludf.DUMMYFUNCTION("IMPORTRANGE(""https://docs.google.com/spreadsheets/d/1Yj_ptqi66GCucihVvJfMjLAmec39IyEx_6qawtMGysU/edit?usp=sharing"",""สบก!CB89"")"),0)</f>
        <v>0</v>
      </c>
      <c r="N254" s="174">
        <f ca="1">IFERROR(__xludf.DUMMYFUNCTION("IMPORTRANGE(""https://docs.google.com/spreadsheets/d/1Yj_ptqi66GCucihVvJfMjLAmec39IyEx_6qawtMGysU/edit?usp=sharing"",""สบก!CC89"")"),0)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IFERROR(__xludf.DUMMYFUNCTION("IMPORTRANGE(""https://docs.google.com/spreadsheets/d/1Yj_ptqi66GCucihVvJfMjLAmec39IyEx_6qawtMGysU/edit?usp=sharing"",""สบก!BX89"")"),0)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IFERROR(__xludf.DUMMYFUNCTION("IMPORTRANGE(""https://docs.google.com/spreadsheets/d/1Yj_ptqi66GCucihVvJfMjLAmec39IyEx_6qawtMGysU/edit?usp=sharing"",""สบก!BY89"")"),0)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IFERROR(__xludf.DUMMYFUNCTION("IMPORTRANGE(""https://docs.google.com/spreadsheets/d/1IYY_tgx_IHuhSq3AJ5eI5OnqOPBNLWSHKh2a30DoXe8/edit?usp=sharing"",""ภูเก็ต!J175"")"),0)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IFERROR(__xludf.DUMMYFUNCTION("IMPORTRANGE(""https://docs.google.com/spreadsheets/d/1IYY_tgx_IHuhSq3AJ5eI5OnqOPBNLWSHKh2a30DoXe8/edit?usp=sharing"",""ภูเก็ต!J176"")"),0)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IFERROR(__xludf.DUMMYFUNCTION("IMPORTRANGE(""https://docs.google.com/spreadsheets/d/1IYY_tgx_IHuhSq3AJ5eI5OnqOPBNLWSHKh2a30DoXe8/edit?usp=sharing"",""ภูเก็ต!J177"")"),0)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IFERROR(__xludf.DUMMYFUNCTION("IMPORTRANGE(""https://docs.google.com/spreadsheets/d/1IYY_tgx_IHuhSq3AJ5eI5OnqOPBNLWSHKh2a30DoXe8/edit?usp=sharing"",""ภูเก็ต!J178"")"),0)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IFERROR(__xludf.DUMMYFUNCTION("IMPORTRANGE(""https://docs.google.com/spreadsheets/d/1IYY_tgx_IHuhSq3AJ5eI5OnqOPBNLWSHKh2a30DoXe8/edit?usp=sharing"",""ภูเก็ต!I179"")"),0)</f>
        <v>0</v>
      </c>
      <c r="J264" s="195">
        <f ca="1">IFERROR(__xludf.DUMMYFUNCTION("IMPORTRANGE(""https://docs.google.com/spreadsheets/d/1IYY_tgx_IHuhSq3AJ5eI5OnqOPBNLWSHKh2a30DoXe8/edit?usp=sharing"",""ภูเก็ต!J179"")"),0)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IFERROR(__xludf.DUMMYFUNCTION("IMPORTRANGE(""https://docs.google.com/spreadsheets/d/1IYY_tgx_IHuhSq3AJ5eI5OnqOPBNLWSHKh2a30DoXe8/edit?usp=sharing"",""ภูเก็ต!I180"")"),0)</f>
        <v>0</v>
      </c>
      <c r="J265" s="195">
        <f ca="1">IFERROR(__xludf.DUMMYFUNCTION("IMPORTRANGE(""https://docs.google.com/spreadsheets/d/1IYY_tgx_IHuhSq3AJ5eI5OnqOPBNLWSHKh2a30DoXe8/edit?usp=sharing"",""ภูเก็ต!J180"")"),0)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IFERROR(__xludf.DUMMYFUNCTION("IMPORTRANGE(""https://docs.google.com/spreadsheets/d/1IYY_tgx_IHuhSq3AJ5eI5OnqOPBNLWSHKh2a30DoXe8/edit?usp=sharing"",""ภูเก็ต!I181"")"),0)</f>
        <v>0</v>
      </c>
      <c r="J266" s="195">
        <f ca="1">IFERROR(__xludf.DUMMYFUNCTION("IMPORTRANGE(""https://docs.google.com/spreadsheets/d/1IYY_tgx_IHuhSq3AJ5eI5OnqOPBNLWSHKh2a30DoXe8/edit?usp=sharing"",""ภูเก็ต!J181"")"),0)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IFERROR(__xludf.DUMMYFUNCTION("IMPORTRANGE(""https://docs.google.com/spreadsheets/d/1IYY_tgx_IHuhSq3AJ5eI5OnqOPBNLWSHKh2a30DoXe8/edit?usp=sharing"",""ภูเก็ต!I182"")"),0)</f>
        <v>0</v>
      </c>
      <c r="J267" s="195">
        <f ca="1">IFERROR(__xludf.DUMMYFUNCTION("IMPORTRANGE(""https://docs.google.com/spreadsheets/d/1IYY_tgx_IHuhSq3AJ5eI5OnqOPBNLWSHKh2a30DoXe8/edit?usp=sharing"",""ภูเก็ต!J182"")"),0)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IFERROR(__xludf.DUMMYFUNCTION("IMPORTRANGE(""https://docs.google.com/spreadsheets/d/1IYY_tgx_IHuhSq3AJ5eI5OnqOPBNLWSHKh2a30DoXe8/edit?usp=sharing"",""ภูเก็ต!J183"")"),0)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IFERROR(__xludf.DUMMYFUNCTION("IMPORTRANGE(""https://docs.google.com/spreadsheets/d/1Yj_ptqi66GCucihVvJfMjLAmec39IyEx_6qawtMGysU/edit?usp=sharing"",""สบก!CK89"")"),0)</f>
        <v>0</v>
      </c>
      <c r="N275" s="174">
        <f ca="1">IFERROR(__xludf.DUMMYFUNCTION("IMPORTRANGE(""https://docs.google.com/spreadsheets/d/1Yj_ptqi66GCucihVvJfMjLAmec39IyEx_6qawtMGysU/edit?usp=sharing"",""สบก!CL89"")"),0)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IFERROR(__xludf.DUMMYFUNCTION("IMPORTRANGE(""https://docs.google.com/spreadsheets/d/1Yj_ptqi66GCucihVvJfMjLAmec39IyEx_6qawtMGysU/edit?usp=sharing"",""สบก!CG89"")"),0)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IFERROR(__xludf.DUMMYFUNCTION("IMPORTRANGE(""https://docs.google.com/spreadsheets/d/1Yj_ptqi66GCucihVvJfMjLAmec39IyEx_6qawtMGysU/edit?usp=sharing"",""สบก!CH89"")"),0)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IFERROR(__xludf.DUMMYFUNCTION("IMPORTRANGE(""https://docs.google.com/spreadsheets/d/1IYY_tgx_IHuhSq3AJ5eI5OnqOPBNLWSHKh2a30DoXe8/edit?usp=sharing"",""ภูเก็ต!J191"")"),0)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IFERROR(__xludf.DUMMYFUNCTION("IMPORTRANGE(""https://docs.google.com/spreadsheets/d/1IYY_tgx_IHuhSq3AJ5eI5OnqOPBNLWSHKh2a30DoXe8/edit?usp=sharing"",""ภูเก็ต!J192"")"),0)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IFERROR(__xludf.DUMMYFUNCTION("IMPORTRANGE(""https://docs.google.com/spreadsheets/d/1IYY_tgx_IHuhSq3AJ5eI5OnqOPBNLWSHKh2a30DoXe8/edit?usp=sharing"",""ภูเก็ต!J193"")"),0)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IFERROR(__xludf.DUMMYFUNCTION("IMPORTRANGE(""https://docs.google.com/spreadsheets/d/1IYY_tgx_IHuhSq3AJ5eI5OnqOPBNLWSHKh2a30DoXe8/edit?usp=sharing"",""ภูเก็ต!J194"")"),0)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IFERROR(__xludf.DUMMYFUNCTION("IMPORTRANGE(""https://docs.google.com/spreadsheets/d/1IYY_tgx_IHuhSq3AJ5eI5OnqOPBNLWSHKh2a30DoXe8/edit?usp=sharing"",""ภูเก็ต!I195"")"),0)</f>
        <v>0</v>
      </c>
      <c r="J285" s="195">
        <f ca="1">IFERROR(__xludf.DUMMYFUNCTION("IMPORTRANGE(""https://docs.google.com/spreadsheets/d/1IYY_tgx_IHuhSq3AJ5eI5OnqOPBNLWSHKh2a30DoXe8/edit?usp=sharing"",""ภูเก็ต!J195"")"),0)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IFERROR(__xludf.DUMMYFUNCTION("IMPORTRANGE(""https://docs.google.com/spreadsheets/d/1IYY_tgx_IHuhSq3AJ5eI5OnqOPBNLWSHKh2a30DoXe8/edit?usp=sharing"",""ภูเก็ต!J196"")"),0)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IFERROR(__xludf.DUMMYFUNCTION("IMPORTRANGE(""https://docs.google.com/spreadsheets/d/1IYY_tgx_IHuhSq3AJ5eI5OnqOPBNLWSHKh2a30DoXe8/edit?usp=sharing"",""ภูเก็ต!J197"")"),0)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IFERROR(__xludf.DUMMYFUNCTION("IMPORTRANGE(""https://docs.google.com/spreadsheets/d/1Yj_ptqi66GCucihVvJfMjLAmec39IyEx_6qawtMGysU/edit?usp=sharing"",""สบก!CT89"")"),0)</f>
        <v>0</v>
      </c>
      <c r="N294" s="174">
        <f ca="1">IFERROR(__xludf.DUMMYFUNCTION("IMPORTRANGE(""https://docs.google.com/spreadsheets/d/1Yj_ptqi66GCucihVvJfMjLAmec39IyEx_6qawtMGysU/edit?usp=sharing"",""สบก!CU89"")"),0)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IFERROR(__xludf.DUMMYFUNCTION("IMPORTRANGE(""https://docs.google.com/spreadsheets/d/1Yj_ptqi66GCucihVvJfMjLAmec39IyEx_6qawtMGysU/edit?usp=sharing"",""สบก!CP89"")"),0)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IFERROR(__xludf.DUMMYFUNCTION("IMPORTRANGE(""https://docs.google.com/spreadsheets/d/1Yj_ptqi66GCucihVvJfMjLAmec39IyEx_6qawtMGysU/edit?usp=sharing"",""สบก!CQ89"")"),0)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IFERROR(__xludf.DUMMYFUNCTION("IMPORTRANGE(""https://docs.google.com/spreadsheets/d/1IYY_tgx_IHuhSq3AJ5eI5OnqOPBNLWSHKh2a30DoXe8/edit?usp=sharing"",""ภูเก็ต!J205"")"),0)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IFERROR(__xludf.DUMMYFUNCTION("IMPORTRANGE(""https://docs.google.com/spreadsheets/d/1IYY_tgx_IHuhSq3AJ5eI5OnqOPBNLWSHKh2a30DoXe8/edit?usp=sharing"",""ภูเก็ต!J206"")"),0)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IFERROR(__xludf.DUMMYFUNCTION("IMPORTRANGE(""https://docs.google.com/spreadsheets/d/1IYY_tgx_IHuhSq3AJ5eI5OnqOPBNLWSHKh2a30DoXe8/edit?usp=sharing"",""ภูเก็ต!J207"")"),0)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IFERROR(__xludf.DUMMYFUNCTION("IMPORTRANGE(""https://docs.google.com/spreadsheets/d/1IYY_tgx_IHuhSq3AJ5eI5OnqOPBNLWSHKh2a30DoXe8/edit?usp=sharing"",""ภูเก็ต!J208"")"),0)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IFERROR(__xludf.DUMMYFUNCTION("IMPORTRANGE(""https://docs.google.com/spreadsheets/d/1IYY_tgx_IHuhSq3AJ5eI5OnqOPBNLWSHKh2a30DoXe8/edit?usp=sharing"",""ภูเก็ต!I209"")"),0)</f>
        <v>0</v>
      </c>
      <c r="J304" s="210">
        <f ca="1">IFERROR(__xludf.DUMMYFUNCTION("IMPORTRANGE(""https://docs.google.com/spreadsheets/d/1IYY_tgx_IHuhSq3AJ5eI5OnqOPBNLWSHKh2a30DoXe8/edit?usp=sharing"",""ภูเก็ต!J209"")"),0)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IFERROR(__xludf.DUMMYFUNCTION("IMPORTRANGE(""https://docs.google.com/spreadsheets/d/1IYY_tgx_IHuhSq3AJ5eI5OnqOPBNLWSHKh2a30DoXe8/edit?usp=sharing"",""ภูเก็ต!I211"")"),0)</f>
        <v>0</v>
      </c>
      <c r="J306" s="210">
        <f ca="1">IFERROR(__xludf.DUMMYFUNCTION("IMPORTRANGE(""https://docs.google.com/spreadsheets/d/1IYY_tgx_IHuhSq3AJ5eI5OnqOPBNLWSHKh2a30DoXe8/edit?usp=sharing"",""ภูเก็ต!J211"")"),0)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IFERROR(__xludf.DUMMYFUNCTION("IMPORTRANGE(""https://docs.google.com/spreadsheets/d/1IYY_tgx_IHuhSq3AJ5eI5OnqOPBNLWSHKh2a30DoXe8/edit?usp=sharing"",""ภูเก็ต!J212"")"),0)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IFERROR(__xludf.DUMMYFUNCTION("IMPORTRANGE(""https://docs.google.com/spreadsheets/d/1Yj_ptqi66GCucihVvJfMjLAmec39IyEx_6qawtMGysU/edit?usp=sharing"",""สบก!DC89"")"),0)</f>
        <v>0</v>
      </c>
      <c r="N314" s="174">
        <f ca="1">IFERROR(__xludf.DUMMYFUNCTION("IMPORTRANGE(""https://docs.google.com/spreadsheets/d/1Yj_ptqi66GCucihVvJfMjLAmec39IyEx_6qawtMGysU/edit?usp=sharing"",""สบก!DD89"")"),0)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IFERROR(__xludf.DUMMYFUNCTION("IMPORTRANGE(""https://docs.google.com/spreadsheets/d/1Yj_ptqi66GCucihVvJfMjLAmec39IyEx_6qawtMGysU/edit?usp=sharing"",""สบก!CY89"")"),0)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IFERROR(__xludf.DUMMYFUNCTION("IMPORTRANGE(""https://docs.google.com/spreadsheets/d/1Yj_ptqi66GCucihVvJfMjLAmec39IyEx_6qawtMGysU/edit?usp=sharing"",""สบก!CZ89"")"),0)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IFERROR(__xludf.DUMMYFUNCTION("IMPORTRANGE(""https://docs.google.com/spreadsheets/d/1IYY_tgx_IHuhSq3AJ5eI5OnqOPBNLWSHKh2a30DoXe8/edit?usp=sharing"",""ภูเก็ต!J220"")"),0)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IFERROR(__xludf.DUMMYFUNCTION("IMPORTRANGE(""https://docs.google.com/spreadsheets/d/1IYY_tgx_IHuhSq3AJ5eI5OnqOPBNLWSHKh2a30DoXe8/edit?usp=sharing"",""ภูเก็ต!J221"")"),0)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IFERROR(__xludf.DUMMYFUNCTION("IMPORTRANGE(""https://docs.google.com/spreadsheets/d/1IYY_tgx_IHuhSq3AJ5eI5OnqOPBNLWSHKh2a30DoXe8/edit?usp=sharing"",""ภูเก็ต!J222"")"),0)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IFERROR(__xludf.DUMMYFUNCTION("IMPORTRANGE(""https://docs.google.com/spreadsheets/d/1IYY_tgx_IHuhSq3AJ5eI5OnqOPBNLWSHKh2a30DoXe8/edit?usp=sharing"",""ภูเก็ต!J223"")"),0)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IFERROR(__xludf.DUMMYFUNCTION("IMPORTRANGE(""https://docs.google.com/spreadsheets/d/1IYY_tgx_IHuhSq3AJ5eI5OnqOPBNLWSHKh2a30DoXe8/edit?usp=sharing"",""ภูเก็ต!I224"")"),0)</f>
        <v>0</v>
      </c>
      <c r="J324" s="210">
        <f ca="1">IFERROR(__xludf.DUMMYFUNCTION("IMPORTRANGE(""https://docs.google.com/spreadsheets/d/1IYY_tgx_IHuhSq3AJ5eI5OnqOPBNLWSHKh2a30DoXe8/edit?usp=sharing"",""ภูเก็ต!J224"")"),0)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IFERROR(__xludf.DUMMYFUNCTION("IMPORTRANGE(""https://docs.google.com/spreadsheets/d/1IYY_tgx_IHuhSq3AJ5eI5OnqOPBNLWSHKh2a30DoXe8/edit?usp=sharing"",""ภูเก็ต!J225"")"),0)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IFERROR(__xludf.DUMMYFUNCTION("IMPORTRANGE(""https://docs.google.com/spreadsheets/d/1IYY_tgx_IHuhSq3AJ5eI5OnqOPBNLWSHKh2a30DoXe8/edit?usp=sharing"",""ภูเก็ต!J226"")"),0)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IFERROR(__xludf.DUMMYFUNCTION("IMPORTRANGE(""https://docs.google.com/spreadsheets/d/1IYY_tgx_IHuhSq3AJ5eI5OnqOPBNLWSHKh2a30DoXe8/edit?usp=sharing"",""ภูเก็ต!I228"")"),20)</f>
        <v>20</v>
      </c>
      <c r="J328" s="345">
        <f ca="1">IFERROR(__xludf.DUMMYFUNCTION("IMPORTRANGE(""https://docs.google.com/spreadsheets/d/1IYY_tgx_IHuhSq3AJ5eI5OnqOPBNLWSHKh2a30DoXe8/edit?usp=sharing"",""ภูเก็ต!J228"")"),19)</f>
        <v>19</v>
      </c>
      <c r="K328" s="323">
        <f ca="1">IF(I328&gt;0,J328*100/I328,0)</f>
        <v>95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729700</v>
      </c>
      <c r="M329" s="156">
        <f t="shared" ca="1" si="98"/>
        <v>768700</v>
      </c>
      <c r="N329" s="156">
        <f t="shared" ca="1" si="98"/>
        <v>537953.23</v>
      </c>
      <c r="O329" s="155">
        <f t="shared" ref="O329:O331" ca="1" si="99">IF(L329&gt;0,N329*100/L329,0)</f>
        <v>73.722520213786481</v>
      </c>
      <c r="P329" s="155">
        <f t="shared" ref="P329:P331" ca="1" si="100">IF(M329&gt;0,N329*100/M329,0)</f>
        <v>69.982207623260052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729700</v>
      </c>
      <c r="M331" s="161">
        <f t="shared" ca="1" si="102"/>
        <v>768700</v>
      </c>
      <c r="N331" s="161">
        <f t="shared" ca="1" si="102"/>
        <v>537953.23</v>
      </c>
      <c r="O331" s="160">
        <f t="shared" ca="1" si="99"/>
        <v>73.722520213786481</v>
      </c>
      <c r="P331" s="160">
        <f t="shared" ca="1" si="100"/>
        <v>69.982207623260052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691900</v>
      </c>
      <c r="M333" s="173">
        <f ca="1">IFERROR(__xludf.DUMMYFUNCTION("IMPORTRANGE(""https://docs.google.com/spreadsheets/d/1Yj_ptqi66GCucihVvJfMjLAmec39IyEx_6qawtMGysU/edit?usp=sharing"",""สบก!DL89"")"),730900)</f>
        <v>730900</v>
      </c>
      <c r="N333" s="174">
        <f ca="1">IFERROR(__xludf.DUMMYFUNCTION("IMPORTRANGE(""https://docs.google.com/spreadsheets/d/1Yj_ptqi66GCucihVvJfMjLAmec39IyEx_6qawtMGysU/edit?usp=sharing"",""สบก!DM89"")"),500153.23)</f>
        <v>500153.23</v>
      </c>
      <c r="O333" s="175">
        <f ca="1">IF(L333&gt;0,N333*100/L333,0)</f>
        <v>72.286924411042051</v>
      </c>
      <c r="P333" s="175">
        <f ca="1">IF(M333&gt;0,N333*100/M333,0)</f>
        <v>68.429775619099743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IFERROR(__xludf.DUMMYFUNCTION("IMPORTRANGE(""https://docs.google.com/spreadsheets/d/1Yj_ptqi66GCucihVvJfMjLAmec39IyEx_6qawtMGysU/edit?usp=sharing"",""สบก!DH89"")"),495500)</f>
        <v>495500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IFERROR(__xludf.DUMMYFUNCTION("IMPORTRANGE(""https://docs.google.com/spreadsheets/d/1Yj_ptqi66GCucihVvJfMjLAmec39IyEx_6qawtMGysU/edit?usp=sharing"",""สบก!DI89"")"),196400)</f>
        <v>196400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IFERROR(__xludf.DUMMYFUNCTION("IMPORTRANGE(""https://docs.google.com/spreadsheets/d/1IYY_tgx_IHuhSq3AJ5eI5OnqOPBNLWSHKh2a30DoXe8/edit?usp=sharing"",""ภูเก็ต!I234"")"),0)</f>
        <v>0</v>
      </c>
      <c r="J339" s="194">
        <f ca="1">IFERROR(__xludf.DUMMYFUNCTION("IMPORTRANGE(""https://docs.google.com/spreadsheets/d/1IYY_tgx_IHuhSq3AJ5eI5OnqOPBNLWSHKh2a30DoXe8/edit?usp=sharing"",""ภูเก็ต!J234"")"),15)</f>
        <v>15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IFERROR(__xludf.DUMMYFUNCTION("IMPORTRANGE(""https://docs.google.com/spreadsheets/d/1IYY_tgx_IHuhSq3AJ5eI5OnqOPBNLWSHKh2a30DoXe8/edit?usp=sharing"",""ภูเก็ต!I235"")"),140)</f>
        <v>140</v>
      </c>
      <c r="J340" s="194">
        <f ca="1">IFERROR(__xludf.DUMMYFUNCTION("IMPORTRANGE(""https://docs.google.com/spreadsheets/d/1IYY_tgx_IHuhSq3AJ5eI5OnqOPBNLWSHKh2a30DoXe8/edit?usp=sharing"",""ภูเก็ต!J235"")"),57.48)</f>
        <v>57.48</v>
      </c>
      <c r="K340" s="348">
        <f t="shared" ca="1" si="103"/>
        <v>41.057142857142857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IFERROR(__xludf.DUMMYFUNCTION("IMPORTRANGE(""https://docs.google.com/spreadsheets/d/1IYY_tgx_IHuhSq3AJ5eI5OnqOPBNLWSHKh2a30DoXe8/edit?usp=sharing"",""ภูเก็ต!I236"")"),20)</f>
        <v>20</v>
      </c>
      <c r="J341" s="194">
        <f ca="1">IFERROR(__xludf.DUMMYFUNCTION("IMPORTRANGE(""https://docs.google.com/spreadsheets/d/1IYY_tgx_IHuhSq3AJ5eI5OnqOPBNLWSHKh2a30DoXe8/edit?usp=sharing"",""ภูเก็ต!J236"")"),19)</f>
        <v>19</v>
      </c>
      <c r="K341" s="348">
        <f t="shared" ca="1" si="103"/>
        <v>95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4">
        <f ca="1">IFERROR(__xludf.DUMMYFUNCTION("IMPORTRANGE(""https://docs.google.com/spreadsheets/d/1IYY_tgx_IHuhSq3AJ5eI5OnqOPBNLWSHKh2a30DoXe8/edit?usp=sharing"",""ภูเก็ต!J237"")"),101.75)</f>
        <v>101.75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IFERROR(__xludf.DUMMYFUNCTION("IMPORTRANGE(""https://docs.google.com/spreadsheets/d/1IYY_tgx_IHuhSq3AJ5eI5OnqOPBNLWSHKh2a30DoXe8/edit?usp=sharing"",""ภูเก็ต!I238"")"),20)</f>
        <v>20</v>
      </c>
      <c r="J343" s="194">
        <f ca="1">IFERROR(__xludf.DUMMYFUNCTION("IMPORTRANGE(""https://docs.google.com/spreadsheets/d/1IYY_tgx_IHuhSq3AJ5eI5OnqOPBNLWSHKh2a30DoXe8/edit?usp=sharing"",""ภูเก็ต!J238"")"),0)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4">
        <f ca="1">IFERROR(__xludf.DUMMYFUNCTION("IMPORTRANGE(""https://docs.google.com/spreadsheets/d/1IYY_tgx_IHuhSq3AJ5eI5OnqOPBNLWSHKh2a30DoXe8/edit?usp=sharing"",""ภูเก็ต!J239"")"),0)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IFERROR(__xludf.DUMMYFUNCTION("IMPORTRANGE(""https://docs.google.com/spreadsheets/d/1IYY_tgx_IHuhSq3AJ5eI5OnqOPBNLWSHKh2a30DoXe8/edit?usp=sharing"",""ภูเก็ต!I240"")"),20)</f>
        <v>20</v>
      </c>
      <c r="J345" s="194">
        <f ca="1">IFERROR(__xludf.DUMMYFUNCTION("IMPORTRANGE(""https://docs.google.com/spreadsheets/d/1IYY_tgx_IHuhSq3AJ5eI5OnqOPBNLWSHKh2a30DoXe8/edit?usp=sharing"",""ภูเก็ต!J240"")"),19)</f>
        <v>19</v>
      </c>
      <c r="K345" s="348">
        <f t="shared" ca="1" si="103"/>
        <v>95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4">
        <f ca="1">IFERROR(__xludf.DUMMYFUNCTION("IMPORTRANGE(""https://docs.google.com/spreadsheets/d/1IYY_tgx_IHuhSq3AJ5eI5OnqOPBNLWSHKh2a30DoXe8/edit?usp=sharing"",""ภูเก็ต!J241"")"),101.75)</f>
        <v>101.75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IFERROR(__xludf.DUMMYFUNCTION("IMPORTRANGE(""https://docs.google.com/spreadsheets/d/1IYY_tgx_IHuhSq3AJ5eI5OnqOPBNLWSHKh2a30DoXe8/edit?usp=sharing"",""ภูเก็ต!L242"")"),523070)</f>
        <v>523070</v>
      </c>
      <c r="M347" s="364"/>
      <c r="N347" s="364">
        <f ca="1">IFERROR(__xludf.DUMMYFUNCTION("IMPORTRANGE(""https://docs.google.com/spreadsheets/d/1IYY_tgx_IHuhSq3AJ5eI5OnqOPBNLWSHKh2a30DoXe8/edit?usp=sharing"",""ภูเก็ต!M242"")"),363375)</f>
        <v>363375</v>
      </c>
      <c r="O347" s="364">
        <f ca="1">+IF(L347&gt;0,N347*100/L347,0)</f>
        <v>69.469669451507443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IFERROR(__xludf.DUMMYFUNCTION("IMPORTRANGE(""https://docs.google.com/spreadsheets/d/1IYY_tgx_IHuhSq3AJ5eI5OnqOPBNLWSHKh2a30DoXe8/edit?usp=sharing"",""ภูเก็ต!L244"")"),89120)</f>
        <v>89120</v>
      </c>
      <c r="M349" s="379"/>
      <c r="N349" s="379">
        <f ca="1">IFERROR(__xludf.DUMMYFUNCTION("IMPORTRANGE(""https://docs.google.com/spreadsheets/d/1IYY_tgx_IHuhSq3AJ5eI5OnqOPBNLWSHKh2a30DoXe8/edit?usp=sharing"",""ภูเก็ต!M244"")"),84743.56)</f>
        <v>84743.56</v>
      </c>
      <c r="O349" s="379">
        <f ca="1">+IF(L349&gt;0,N349*100/L349,0)</f>
        <v>95.089272890484736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IFERROR(__xludf.DUMMYFUNCTION("IMPORTRANGE(""https://docs.google.com/spreadsheets/d/1IYY_tgx_IHuhSq3AJ5eI5OnqOPBNLWSHKh2a30DoXe8/edit?usp=sharing"",""ภูเก็ต!L246"")"),0)</f>
        <v>0</v>
      </c>
      <c r="M351" s="168"/>
      <c r="N351" s="168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IFERROR(__xludf.DUMMYFUNCTION("IMPORTRANGE(""https://docs.google.com/spreadsheets/d/1IYY_tgx_IHuhSq3AJ5eI5OnqOPBNLWSHKh2a30DoXe8/edit?usp=sharing"",""ภูเก็ต!L247"")"),89120)</f>
        <v>89120</v>
      </c>
      <c r="M352" s="169"/>
      <c r="N352" s="168">
        <f ca="1">IFERROR(__xludf.DUMMYFUNCTION("IMPORTRANGE(""https://docs.google.com/spreadsheets/d/1IYY_tgx_IHuhSq3AJ5eI5OnqOPBNLWSHKh2a30DoXe8/edit?usp=sharing"",""ภูเก็ต!M247"")"),84743.56)</f>
        <v>84743.56</v>
      </c>
      <c r="O352" s="169">
        <f t="shared" ca="1" si="105"/>
        <v>95.089272890484736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IFERROR(__xludf.DUMMYFUNCTION("IMPORTRANGE(""https://docs.google.com/spreadsheets/d/1IYY_tgx_IHuhSq3AJ5eI5OnqOPBNLWSHKh2a30DoXe8/edit?usp=sharing"",""ภูเก็ต!L248"")"),0)</f>
        <v>0</v>
      </c>
      <c r="M353" s="175"/>
      <c r="N353" s="175">
        <f ca="1">IFERROR(__xludf.DUMMYFUNCTION("IMPORTRANGE(""https://docs.google.com/spreadsheets/d/1IYY_tgx_IHuhSq3AJ5eI5OnqOPBNLWSHKh2a30DoXe8/edit?usp=sharing"",""ภูเก็ต!M248"")"),0)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IFERROR(__xludf.DUMMYFUNCTION("IMPORTRANGE(""https://docs.google.com/spreadsheets/d/1IYY_tgx_IHuhSq3AJ5eI5OnqOPBNLWSHKh2a30DoXe8/edit?usp=sharing"",""ภูเก็ต!L249"")"),89120)</f>
        <v>89120</v>
      </c>
      <c r="M354" s="175"/>
      <c r="N354" s="172">
        <f ca="1">IFERROR(__xludf.DUMMYFUNCTION("IMPORTRANGE(""https://docs.google.com/spreadsheets/d/1IYY_tgx_IHuhSq3AJ5eI5OnqOPBNLWSHKh2a30DoXe8/edit?usp=sharing"",""ภูเก็ต!M249"")"),84743.56)</f>
        <v>84743.56</v>
      </c>
      <c r="O354" s="175">
        <f t="shared" ca="1" si="105"/>
        <v>95.089272890484736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IFERROR(__xludf.DUMMYFUNCTION("IMPORTRANGE(""https://docs.google.com/spreadsheets/d/1IYY_tgx_IHuhSq3AJ5eI5OnqOPBNLWSHKh2a30DoXe8/edit?usp=sharing"",""ภูเก็ต!M251"")"),43000)</f>
        <v>43000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IFERROR(__xludf.DUMMYFUNCTION("IMPORTRANGE(""https://docs.google.com/spreadsheets/d/1IYY_tgx_IHuhSq3AJ5eI5OnqOPBNLWSHKh2a30DoXe8/edit?usp=sharing"",""ภูเก็ต!M253"")"),14143.56)</f>
        <v>14143.56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IFERROR(__xludf.DUMMYFUNCTION("IMPORTRANGE(""https://docs.google.com/spreadsheets/d/1IYY_tgx_IHuhSq3AJ5eI5OnqOPBNLWSHKh2a30DoXe8/edit?usp=sharing"",""ภูเก็ต!J255"")"),0)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IFERROR(__xludf.DUMMYFUNCTION("IMPORTRANGE(""https://docs.google.com/spreadsheets/d/1IYY_tgx_IHuhSq3AJ5eI5OnqOPBNLWSHKh2a30DoXe8/edit?usp=sharing"",""ภูเก็ต!J256"")"),1)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IFERROR(__xludf.DUMMYFUNCTION("IMPORTRANGE(""https://docs.google.com/spreadsheets/d/1IYY_tgx_IHuhSq3AJ5eI5OnqOPBNLWSHKh2a30DoXe8/edit?usp=sharing"",""ภูเก็ต!J257"")"),1)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IFERROR(__xludf.DUMMYFUNCTION("IMPORTRANGE(""https://docs.google.com/spreadsheets/d/1IYY_tgx_IHuhSq3AJ5eI5OnqOPBNLWSHKh2a30DoXe8/edit?usp=sharing"",""ภูเก็ต!J258"")"),1)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IFERROR(__xludf.DUMMYFUNCTION("IMPORTRANGE(""https://docs.google.com/spreadsheets/d/1IYY_tgx_IHuhSq3AJ5eI5OnqOPBNLWSHKh2a30DoXe8/edit?usp=sharing"",""ภูเก็ต!J166"")"),0)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IFERROR(__xludf.DUMMYFUNCTION("IMPORTRANGE(""https://docs.google.com/spreadsheets/d/1IYY_tgx_IHuhSq3AJ5eI5OnqOPBNLWSHKh2a30DoXe8/edit?usp=sharing"",""ภูเก็ต!J166"")"),0)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IFERROR(__xludf.DUMMYFUNCTION("IMPORTRANGE(""https://docs.google.com/spreadsheets/d/1IYY_tgx_IHuhSq3AJ5eI5OnqOPBNLWSHKh2a30DoXe8/edit?usp=sharing"",""ภูเก็ต!J166"")"),0)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IFERROR(__xludf.DUMMYFUNCTION("IMPORTRANGE(""https://docs.google.com/spreadsheets/d/1IYY_tgx_IHuhSq3AJ5eI5OnqOPBNLWSHKh2a30DoXe8/edit?usp=sharing"",""ภูเก็ต!J166"")"),0)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IFERROR(__xludf.DUMMYFUNCTION("IMPORTRANGE(""https://docs.google.com/spreadsheets/d/1IYY_tgx_IHuhSq3AJ5eI5OnqOPBNLWSHKh2a30DoXe8/edit?usp=sharing"",""ภูเก็ต!I263"")"),20)</f>
        <v>20</v>
      </c>
      <c r="J368" s="194">
        <f ca="1">IFERROR(__xludf.DUMMYFUNCTION("IMPORTRANGE(""https://docs.google.com/spreadsheets/d/1IYY_tgx_IHuhSq3AJ5eI5OnqOPBNLWSHKh2a30DoXe8/edit?usp=sharing"",""ภูเก็ต!J263"")"),20)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IFERROR(__xludf.DUMMYFUNCTION("IMPORTRANGE(""https://docs.google.com/spreadsheets/d/1IYY_tgx_IHuhSq3AJ5eI5OnqOPBNLWSHKh2a30DoXe8/edit?usp=sharing"",""ภูเก็ต!I164"")"),0)</f>
        <v>0</v>
      </c>
      <c r="J369" s="210">
        <f ca="1">IFERROR(__xludf.DUMMYFUNCTION("IMPORTRANGE(""https://docs.google.com/spreadsheets/d/1IYY_tgx_IHuhSq3AJ5eI5OnqOPBNLWSHKh2a30DoXe8/edit?usp=sharing"",""ภูเก็ต!J164"")"),0)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IFERROR(__xludf.DUMMYFUNCTION("IMPORTRANGE(""https://docs.google.com/spreadsheets/d/1IYY_tgx_IHuhSq3AJ5eI5OnqOPBNLWSHKh2a30DoXe8/edit?usp=sharing"",""ภูเก็ต!I265"")"),20)</f>
        <v>20</v>
      </c>
      <c r="J370" s="210">
        <f ca="1">IFERROR(__xludf.DUMMYFUNCTION("IMPORTRANGE(""https://docs.google.com/spreadsheets/d/1IYY_tgx_IHuhSq3AJ5eI5OnqOPBNLWSHKh2a30DoXe8/edit?usp=sharing"",""ภูเก็ต!J265"")"),20)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IFERROR(__xludf.DUMMYFUNCTION("IMPORTRANGE(""https://docs.google.com/spreadsheets/d/1IYY_tgx_IHuhSq3AJ5eI5OnqOPBNLWSHKh2a30DoXe8/edit?usp=sharing"",""ภูเก็ต!I164"")"),0)</f>
        <v>0</v>
      </c>
      <c r="J371" s="195">
        <f ca="1">IFERROR(__xludf.DUMMYFUNCTION("IMPORTRANGE(""https://docs.google.com/spreadsheets/d/1IYY_tgx_IHuhSq3AJ5eI5OnqOPBNLWSHKh2a30DoXe8/edit?usp=sharing"",""ภูเก็ต!J164"")"),0)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IFERROR(__xludf.DUMMYFUNCTION("IMPORTRANGE(""https://docs.google.com/spreadsheets/d/1IYY_tgx_IHuhSq3AJ5eI5OnqOPBNLWSHKh2a30DoXe8/edit?usp=sharing"",""ภูเก็ต!I267"")"),20)</f>
        <v>20</v>
      </c>
      <c r="J372" s="195">
        <f ca="1">IFERROR(__xludf.DUMMYFUNCTION("IMPORTRANGE(""https://docs.google.com/spreadsheets/d/1IYY_tgx_IHuhSq3AJ5eI5OnqOPBNLWSHKh2a30DoXe8/edit?usp=sharing"",""ภูเก็ต!J267"")"),20)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IFERROR(__xludf.DUMMYFUNCTION("IMPORTRANGE(""https://docs.google.com/spreadsheets/d/1IYY_tgx_IHuhSq3AJ5eI5OnqOPBNLWSHKh2a30DoXe8/edit?usp=sharing"",""ภูเก็ต!I164"")"),0)</f>
        <v>0</v>
      </c>
      <c r="J373" s="210">
        <f ca="1">IFERROR(__xludf.DUMMYFUNCTION("IMPORTRANGE(""https://docs.google.com/spreadsheets/d/1IYY_tgx_IHuhSq3AJ5eI5OnqOPBNLWSHKh2a30DoXe8/edit?usp=sharing"",""ภูเก็ต!J164"")"),0)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IFERROR(__xludf.DUMMYFUNCTION("IMPORTRANGE(""https://docs.google.com/spreadsheets/d/1IYY_tgx_IHuhSq3AJ5eI5OnqOPBNLWSHKh2a30DoXe8/edit?usp=sharing"",""ภูเก็ต!I164"")"),0)</f>
        <v>0</v>
      </c>
      <c r="J374" s="194">
        <f ca="1">IFERROR(__xludf.DUMMYFUNCTION("IMPORTRANGE(""https://docs.google.com/spreadsheets/d/1IYY_tgx_IHuhSq3AJ5eI5OnqOPBNLWSHKh2a30DoXe8/edit?usp=sharing"",""ภูเก็ต!J164"")"),0)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IFERROR(__xludf.DUMMYFUNCTION("IMPORTRANGE(""https://docs.google.com/spreadsheets/d/1IYY_tgx_IHuhSq3AJ5eI5OnqOPBNLWSHKh2a30DoXe8/edit?usp=sharing"",""ภูเก็ต!I270"")"),40)</f>
        <v>40</v>
      </c>
      <c r="J375" s="194">
        <f ca="1">IFERROR(__xludf.DUMMYFUNCTION("IMPORTRANGE(""https://docs.google.com/spreadsheets/d/1IYY_tgx_IHuhSq3AJ5eI5OnqOPBNLWSHKh2a30DoXe8/edit?usp=sharing"",""ภูเก็ต!J270"")"),0)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IFERROR(__xludf.DUMMYFUNCTION("IMPORTRANGE(""https://docs.google.com/spreadsheets/d/1IYY_tgx_IHuhSq3AJ5eI5OnqOPBNLWSHKh2a30DoXe8/edit?usp=sharing"",""ภูเก็ต!I271"")"),0)</f>
        <v>0</v>
      </c>
      <c r="J376" s="195">
        <f ca="1">IFERROR(__xludf.DUMMYFUNCTION("IMPORTRANGE(""https://docs.google.com/spreadsheets/d/1IYY_tgx_IHuhSq3AJ5eI5OnqOPBNLWSHKh2a30DoXe8/edit?usp=sharing"",""ภูเก็ต!J271"")"),0)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IFERROR(__xludf.DUMMYFUNCTION("IMPORTRANGE(""https://docs.google.com/spreadsheets/d/1IYY_tgx_IHuhSq3AJ5eI5OnqOPBNLWSHKh2a30DoXe8/edit?usp=sharing"",""ภูเก็ต!I272"")"),40)</f>
        <v>40</v>
      </c>
      <c r="J377" s="210">
        <f ca="1">IFERROR(__xludf.DUMMYFUNCTION("IMPORTRANGE(""https://docs.google.com/spreadsheets/d/1IYY_tgx_IHuhSq3AJ5eI5OnqOPBNLWSHKh2a30DoXe8/edit?usp=sharing"",""ภูเก็ต!J272"")"),0)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IFERROR(__xludf.DUMMYFUNCTION("IMPORTRANGE(""https://docs.google.com/spreadsheets/d/1IYY_tgx_IHuhSq3AJ5eI5OnqOPBNLWSHKh2a30DoXe8/edit?usp=sharing"",""ภูเก็ต!J273"")"),0)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IFERROR(__xludf.DUMMYFUNCTION("IMPORTRANGE(""https://docs.google.com/spreadsheets/d/1IYY_tgx_IHuhSq3AJ5eI5OnqOPBNLWSHKh2a30DoXe8/edit?usp=sharing"",""ภูเก็ต!J274"")"),0)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IFERROR(__xludf.DUMMYFUNCTION("IMPORTRANGE(""https://docs.google.com/spreadsheets/d/1IYY_tgx_IHuhSq3AJ5eI5OnqOPBNLWSHKh2a30DoXe8/edit?usp=sharing"",""ภูเก็ต!M275"")"),67550)</f>
        <v>67550</v>
      </c>
      <c r="O380" s="379">
        <f ca="1">+IF(L380&gt;0,N380*100/L380,0)</f>
        <v>77.015163607342373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IFERROR(__xludf.DUMMYFUNCTION("IMPORTRANGE(""https://docs.google.com/spreadsheets/d/1IYY_tgx_IHuhSq3AJ5eI5OnqOPBNLWSHKh2a30DoXe8/edit?usp=sharing"",""ภูเก็ต!L277"")"),0)</f>
        <v>0</v>
      </c>
      <c r="M382" s="168"/>
      <c r="N382" s="168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IFERROR(__xludf.DUMMYFUNCTION("IMPORTRANGE(""https://docs.google.com/spreadsheets/d/1IYY_tgx_IHuhSq3AJ5eI5OnqOPBNLWSHKh2a30DoXe8/edit?usp=sharing"",""ภูเก็ต!M278"")"),67550)</f>
        <v>67550</v>
      </c>
      <c r="O383" s="169">
        <f t="shared" ca="1" si="109"/>
        <v>77.015163607342373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IFERROR(__xludf.DUMMYFUNCTION("IMPORTRANGE(""https://docs.google.com/spreadsheets/d/1IYY_tgx_IHuhSq3AJ5eI5OnqOPBNLWSHKh2a30DoXe8/edit?usp=sharing"",""ภูเก็ต!L279"")"),0)</f>
        <v>0</v>
      </c>
      <c r="M384" s="175"/>
      <c r="N384" s="175">
        <f ca="1">IFERROR(__xludf.DUMMYFUNCTION("IMPORTRANGE(""https://docs.google.com/spreadsheets/d/1IYY_tgx_IHuhSq3AJ5eI5OnqOPBNLWSHKh2a30DoXe8/edit?usp=sharing"",""ภูเก็ต!M279"")"),0)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IFERROR(__xludf.DUMMYFUNCTION("IMPORTRANGE(""https://docs.google.com/spreadsheets/d/1IYY_tgx_IHuhSq3AJ5eI5OnqOPBNLWSHKh2a30DoXe8/edit?usp=sharing"",""ภูเก็ต!L280"")"),87710)</f>
        <v>87710</v>
      </c>
      <c r="M385" s="175"/>
      <c r="N385" s="172">
        <f ca="1">IFERROR(__xludf.DUMMYFUNCTION("IMPORTRANGE(""https://docs.google.com/spreadsheets/d/1IYY_tgx_IHuhSq3AJ5eI5OnqOPBNLWSHKh2a30DoXe8/edit?usp=sharing"",""ภูเก็ต!M280"")"),67550)</f>
        <v>67550</v>
      </c>
      <c r="O385" s="175">
        <f t="shared" ca="1" si="109"/>
        <v>77.015163607342373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IFERROR(__xludf.DUMMYFUNCTION("IMPORTRANGE(""https://docs.google.com/spreadsheets/d/1IYY_tgx_IHuhSq3AJ5eI5OnqOPBNLWSHKh2a30DoXe8/edit?usp=sharing"",""ภูเก็ต!M281"")"),32700)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IFERROR(__xludf.DUMMYFUNCTION("IMPORTRANGE(""https://docs.google.com/spreadsheets/d/1IYY_tgx_IHuhSq3AJ5eI5OnqOPBNLWSHKh2a30DoXe8/edit?usp=sharing"",""ภูเก็ต!M282"")"),31250)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IFERROR(__xludf.DUMMYFUNCTION("IMPORTRANGE(""https://docs.google.com/spreadsheets/d/1IYY_tgx_IHuhSq3AJ5eI5OnqOPBNLWSHKh2a30DoXe8/edit?usp=sharing"",""ภูเก็ต!M284"")"),3600)</f>
        <v>3600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IFERROR(__xludf.DUMMYFUNCTION("IMPORTRANGE(""https://docs.google.com/spreadsheets/d/1IYY_tgx_IHuhSq3AJ5eI5OnqOPBNLWSHKh2a30DoXe8/edit?usp=sharing"",""ภูเก็ต!J286"")"),0)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IFERROR(__xludf.DUMMYFUNCTION("IMPORTRANGE(""https://docs.google.com/spreadsheets/d/1IYY_tgx_IHuhSq3AJ5eI5OnqOPBNLWSHKh2a30DoXe8/edit?usp=sharing"",""ภูเก็ต!J287"")"),1)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IFERROR(__xludf.DUMMYFUNCTION("IMPORTRANGE(""https://docs.google.com/spreadsheets/d/1IYY_tgx_IHuhSq3AJ5eI5OnqOPBNLWSHKh2a30DoXe8/edit?usp=sharing"",""ภูเก็ต!J288"")"),1)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IFERROR(__xludf.DUMMYFUNCTION("IMPORTRANGE(""https://docs.google.com/spreadsheets/d/1IYY_tgx_IHuhSq3AJ5eI5OnqOPBNLWSHKh2a30DoXe8/edit?usp=sharing"",""ภูเก็ต!J289"")"),1)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IFERROR(__xludf.DUMMYFUNCTION("IMPORTRANGE(""https://docs.google.com/spreadsheets/d/1IYY_tgx_IHuhSq3AJ5eI5OnqOPBNLWSHKh2a30DoXe8/edit?usp=sharing"",""ภูเก็ต!I291"")"),5)</f>
        <v>5</v>
      </c>
      <c r="J396" s="204">
        <f ca="1">IFERROR(__xludf.DUMMYFUNCTION("IMPORTRANGE(""https://docs.google.com/spreadsheets/d/1IYY_tgx_IHuhSq3AJ5eI5OnqOPBNLWSHKh2a30DoXe8/edit?usp=sharing"",""ภูเก็ต!J291"")"),5)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IFERROR(__xludf.DUMMYFUNCTION("IMPORTRANGE(""https://docs.google.com/spreadsheets/d/1IYY_tgx_IHuhSq3AJ5eI5OnqOPBNLWSHKh2a30DoXe8/edit?usp=sharing"",""ภูเก็ต!I292"")"),50)</f>
        <v>50</v>
      </c>
      <c r="J397" s="204">
        <f ca="1">IFERROR(__xludf.DUMMYFUNCTION("IMPORTRANGE(""https://docs.google.com/spreadsheets/d/1IYY_tgx_IHuhSq3AJ5eI5OnqOPBNLWSHKh2a30DoXe8/edit?usp=sharing"",""ภูเก็ต!J292"")"),0)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IFERROR(__xludf.DUMMYFUNCTION("IMPORTRANGE(""https://docs.google.com/spreadsheets/d/1IYY_tgx_IHuhSq3AJ5eI5OnqOPBNLWSHKh2a30DoXe8/edit?usp=sharing"",""ภูเก็ต!I293"")"),5)</f>
        <v>5</v>
      </c>
      <c r="J398" s="204">
        <f ca="1">IFERROR(__xludf.DUMMYFUNCTION("IMPORTRANGE(""https://docs.google.com/spreadsheets/d/1IYY_tgx_IHuhSq3AJ5eI5OnqOPBNLWSHKh2a30DoXe8/edit?usp=sharing"",""ภูเก็ต!J293"")"),0)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IFERROR(__xludf.DUMMYFUNCTION("IMPORTRANGE(""https://docs.google.com/spreadsheets/d/1IYY_tgx_IHuhSq3AJ5eI5OnqOPBNLWSHKh2a30DoXe8/edit?usp=sharing"",""ภูเก็ต!J294"")"),0)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IFERROR(__xludf.DUMMYFUNCTION("IMPORTRANGE(""https://docs.google.com/spreadsheets/d/1IYY_tgx_IHuhSq3AJ5eI5OnqOPBNLWSHKh2a30DoXe8/edit?usp=sharing"",""ภูเก็ต!J295"")"),0)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IFERROR(__xludf.DUMMYFUNCTION("IMPORTRANGE(""https://docs.google.com/spreadsheets/d/1IYY_tgx_IHuhSq3AJ5eI5OnqOPBNLWSHKh2a30DoXe8/edit?usp=sharing"",""ภูเก็ต!M296"")"),96031.44)</f>
        <v>96031.44</v>
      </c>
      <c r="O401" s="379">
        <f ca="1">+IF(L401&gt;0,N401*100/L401,0)</f>
        <v>82.55797799174691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IFERROR(__xludf.DUMMYFUNCTION("IMPORTRANGE(""https://docs.google.com/spreadsheets/d/1IYY_tgx_IHuhSq3AJ5eI5OnqOPBNLWSHKh2a30DoXe8/edit?usp=sharing"",""ภูเก็ต!L298"")"),0)</f>
        <v>0</v>
      </c>
      <c r="M403" s="168"/>
      <c r="N403" s="175">
        <f ca="1">IFERROR(__xludf.DUMMYFUNCTION("IMPORTRANGE(""https://docs.google.com/spreadsheets/d/1IYY_tgx_IHuhSq3AJ5eI5OnqOPBNLWSHKh2a30DoXe8/edit?usp=sharing"",""ภูเก็ต!M298"")"),0)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IFERROR(__xludf.DUMMYFUNCTION("IMPORTRANGE(""https://docs.google.com/spreadsheets/d/1IYY_tgx_IHuhSq3AJ5eI5OnqOPBNLWSHKh2a30DoXe8/edit?usp=sharing"",""ภูเก็ต!M299"")"),96031.44)</f>
        <v>96031.44</v>
      </c>
      <c r="O404" s="175">
        <f t="shared" ca="1" si="112"/>
        <v>82.55797799174691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IFERROR(__xludf.DUMMYFUNCTION("IMPORTRANGE(""https://docs.google.com/spreadsheets/d/1IYY_tgx_IHuhSq3AJ5eI5OnqOPBNLWSHKh2a30DoXe8/edit?usp=sharing"",""ภูเก็ต!L300"")"),0)</f>
        <v>0</v>
      </c>
      <c r="M405" s="175"/>
      <c r="N405" s="175">
        <f ca="1">IFERROR(__xludf.DUMMYFUNCTION("IMPORTRANGE(""https://docs.google.com/spreadsheets/d/1IYY_tgx_IHuhSq3AJ5eI5OnqOPBNLWSHKh2a30DoXe8/edit?usp=sharing"",""ภูเก็ต!M300"")"),0)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IFERROR(__xludf.DUMMYFUNCTION("IMPORTRANGE(""https://docs.google.com/spreadsheets/d/1IYY_tgx_IHuhSq3AJ5eI5OnqOPBNLWSHKh2a30DoXe8/edit?usp=sharing"",""ภูเก็ต!L301"")"),116320)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IFERROR(__xludf.DUMMYFUNCTION("IMPORTRANGE(""https://docs.google.com/spreadsheets/d/1IYY_tgx_IHuhSq3AJ5eI5OnqOPBNLWSHKh2a30DoXe8/edit?usp=sharing"",""ภูเก็ต!M301"")"),96031.44)</f>
        <v>96031.44</v>
      </c>
      <c r="O406" s="175">
        <f t="shared" ca="1" si="112"/>
        <v>82.55797799174691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IFERROR(__xludf.DUMMYFUNCTION("IMPORTRANGE(""https://docs.google.com/spreadsheets/d/1IYY_tgx_IHuhSq3AJ5eI5OnqOPBNLWSHKh2a30DoXe8/edit?usp=sharing"",""ภูเก็ต!M302"")"),69500)</f>
        <v>69500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IFERROR(__xludf.DUMMYFUNCTION("IMPORTRANGE(""https://docs.google.com/spreadsheets/d/1IYY_tgx_IHuhSq3AJ5eI5OnqOPBNLWSHKh2a30DoXe8/edit?usp=sharing"",""ภูเก็ต!M303"")"),10601.44)</f>
        <v>10601.44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IFERROR(__xludf.DUMMYFUNCTION("IMPORTRANGE(""https://docs.google.com/spreadsheets/d/1IYY_tgx_IHuhSq3AJ5eI5OnqOPBNLWSHKh2a30DoXe8/edit?usp=sharing"",""ภูเก็ต!M305"")"),15930)</f>
        <v>15930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IFERROR(__xludf.DUMMYFUNCTION("IMPORTRANGE(""https://docs.google.com/spreadsheets/d/1IYY_tgx_IHuhSq3AJ5eI5OnqOPBNLWSHKh2a30DoXe8/edit?usp=sharing"",""ภูเก็ต!J307"")"),0)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IFERROR(__xludf.DUMMYFUNCTION("IMPORTRANGE(""https://docs.google.com/spreadsheets/d/1IYY_tgx_IHuhSq3AJ5eI5OnqOPBNLWSHKh2a30DoXe8/edit?usp=sharing"",""ภูเก็ต!J308"")"),1)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IFERROR(__xludf.DUMMYFUNCTION("IMPORTRANGE(""https://docs.google.com/spreadsheets/d/1IYY_tgx_IHuhSq3AJ5eI5OnqOPBNLWSHKh2a30DoXe8/edit?usp=sharing"",""ภูเก็ต!J309"")"),1)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IFERROR(__xludf.DUMMYFUNCTION("IMPORTRANGE(""https://docs.google.com/spreadsheets/d/1IYY_tgx_IHuhSq3AJ5eI5OnqOPBNLWSHKh2a30DoXe8/edit?usp=sharing"",""ภูเก็ต!J310"")"),1)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IFERROR(__xludf.DUMMYFUNCTION("IMPORTRANGE(""https://docs.google.com/spreadsheets/d/1IYY_tgx_IHuhSq3AJ5eI5OnqOPBNLWSHKh2a30DoXe8/edit?usp=sharing"",""ภูเก็ต!I311"")"),30)</f>
        <v>30</v>
      </c>
      <c r="J416" s="207">
        <f ca="1">IFERROR(__xludf.DUMMYFUNCTION("IMPORTRANGE(""https://docs.google.com/spreadsheets/d/1IYY_tgx_IHuhSq3AJ5eI5OnqOPBNLWSHKh2a30DoXe8/edit?usp=sharing"",""ภูเก็ต!J311"")"),30)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IFERROR(__xludf.DUMMYFUNCTION("IMPORTRANGE(""https://docs.google.com/spreadsheets/d/1IYY_tgx_IHuhSq3AJ5eI5OnqOPBNLWSHKh2a30DoXe8/edit?usp=sharing"",""ภูเก็ต!J328"")"),0)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IFERROR(__xludf.DUMMYFUNCTION("IMPORTRANGE(""https://docs.google.com/spreadsheets/d/1IYY_tgx_IHuhSq3AJ5eI5OnqOPBNLWSHKh2a30DoXe8/edit?usp=sharing"",""ภูเก็ต!J329"")"),0)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IFERROR(__xludf.DUMMYFUNCTION("IMPORTRANGE(""https://docs.google.com/spreadsheets/d/1IYY_tgx_IHuhSq3AJ5eI5OnqOPBNLWSHKh2a30DoXe8/edit?usp=sharing"",""ภูเก็ต!M330"")"),40150)</f>
        <v>40150</v>
      </c>
      <c r="O435" s="418">
        <f t="shared" ref="O435:O439" ca="1" si="114">+IF(L435&gt;0,N435*100/L435,0)</f>
        <v>52.828947368421055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IFERROR(__xludf.DUMMYFUNCTION("IMPORTRANGE(""https://docs.google.com/spreadsheets/d/1IYY_tgx_IHuhSq3AJ5eI5OnqOPBNLWSHKh2a30DoXe8/edit?usp=sharing"",""ภูเก็ต!L331"")"),0)</f>
        <v>0</v>
      </c>
      <c r="M436" s="168"/>
      <c r="N436" s="175">
        <f ca="1">IFERROR(__xludf.DUMMYFUNCTION("IMPORTRANGE(""https://docs.google.com/spreadsheets/d/1IYY_tgx_IHuhSq3AJ5eI5OnqOPBNLWSHKh2a30DoXe8/edit?usp=sharing"",""ภูเก็ต!M331"")"),0)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IFERROR(__xludf.DUMMYFUNCTION("IMPORTRANGE(""https://docs.google.com/spreadsheets/d/1IYY_tgx_IHuhSq3AJ5eI5OnqOPBNLWSHKh2a30DoXe8/edit?usp=sharing"",""ภูเก็ต!L332"")"),76000)</f>
        <v>76000</v>
      </c>
      <c r="M437" s="169"/>
      <c r="N437" s="175">
        <f ca="1">IFERROR(__xludf.DUMMYFUNCTION("IMPORTRANGE(""https://docs.google.com/spreadsheets/d/1IYY_tgx_IHuhSq3AJ5eI5OnqOPBNLWSHKh2a30DoXe8/edit?usp=sharing"",""ภูเก็ต!M332"")"),40150)</f>
        <v>40150</v>
      </c>
      <c r="O437" s="175">
        <f t="shared" ca="1" si="114"/>
        <v>52.828947368421055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IFERROR(__xludf.DUMMYFUNCTION("IMPORTRANGE(""https://docs.google.com/spreadsheets/d/1IYY_tgx_IHuhSq3AJ5eI5OnqOPBNLWSHKh2a30DoXe8/edit?usp=sharing"",""ภูเก็ต!L333"")"),0)</f>
        <v>0</v>
      </c>
      <c r="M438" s="175"/>
      <c r="N438" s="175">
        <f ca="1">IFERROR(__xludf.DUMMYFUNCTION("IMPORTRANGE(""https://docs.google.com/spreadsheets/d/1IYY_tgx_IHuhSq3AJ5eI5OnqOPBNLWSHKh2a30DoXe8/edit?usp=sharing"",""ภูเก็ต!M333"")"),0)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IFERROR(__xludf.DUMMYFUNCTION("IMPORTRANGE(""https://docs.google.com/spreadsheets/d/1IYY_tgx_IHuhSq3AJ5eI5OnqOPBNLWSHKh2a30DoXe8/edit?usp=sharing"",""ภูเก็ต!L334"")"),76000)</f>
        <v>76000</v>
      </c>
      <c r="M439" s="175"/>
      <c r="N439" s="175">
        <f ca="1">IFERROR(__xludf.DUMMYFUNCTION("IMPORTRANGE(""https://docs.google.com/spreadsheets/d/1IYY_tgx_IHuhSq3AJ5eI5OnqOPBNLWSHKh2a30DoXe8/edit?usp=sharing"",""ภูเก็ต!M334"")"),40150)</f>
        <v>40150</v>
      </c>
      <c r="O439" s="175">
        <f t="shared" ca="1" si="114"/>
        <v>52.828947368421055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IFERROR(__xludf.DUMMYFUNCTION("IMPORTRANGE(""https://docs.google.com/spreadsheets/d/1IYY_tgx_IHuhSq3AJ5eI5OnqOPBNLWSHKh2a30DoXe8/edit?usp=sharing"",""ภูเก็ต!M335"")"),25200)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IFERROR(__xludf.DUMMYFUNCTION("IMPORTRANGE(""https://docs.google.com/spreadsheets/d/1IYY_tgx_IHuhSq3AJ5eI5OnqOPBNLWSHKh2a30DoXe8/edit?usp=sharing"",""ภูเก็ต!M338"")"),14950)</f>
        <v>14950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IFERROR(__xludf.DUMMYFUNCTION("IMPORTRANGE(""https://docs.google.com/spreadsheets/d/1IYY_tgx_IHuhSq3AJ5eI5OnqOPBNLWSHKh2a30DoXe8/edit?usp=sharing"",""ภูเก็ต!J340"")"),0)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IFERROR(__xludf.DUMMYFUNCTION("IMPORTRANGE(""https://docs.google.com/spreadsheets/d/1IYY_tgx_IHuhSq3AJ5eI5OnqOPBNLWSHKh2a30DoXe8/edit?usp=sharing"",""ภูเก็ต!J341"")"),1)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IFERROR(__xludf.DUMMYFUNCTION("IMPORTRANGE(""https://docs.google.com/spreadsheets/d/1IYY_tgx_IHuhSq3AJ5eI5OnqOPBNLWSHKh2a30DoXe8/edit?usp=sharing"",""ภูเก็ต!J342"")"),1)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IFERROR(__xludf.DUMMYFUNCTION("IMPORTRANGE(""https://docs.google.com/spreadsheets/d/1IYY_tgx_IHuhSq3AJ5eI5OnqOPBNLWSHKh2a30DoXe8/edit?usp=sharing"",""ภูเก็ต!J343"")"),1)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7">
        <f ca="1">IFERROR(__xludf.DUMMYFUNCTION("IMPORTRANGE(""https://docs.google.com/spreadsheets/d/1IYY_tgx_IHuhSq3AJ5eI5OnqOPBNLWSHKh2a30DoXe8/edit?usp=sharing"",""ภูเก็ต!J344"")"),10)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5">
        <f ca="1">IFERROR(__xludf.DUMMYFUNCTION("IMPORTRANGE(""https://docs.google.com/spreadsheets/d/1IYY_tgx_IHuhSq3AJ5eI5OnqOPBNLWSHKh2a30DoXe8/edit?usp=sharing"",""ภูเก็ต!J345"")"),10)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4">
        <f ca="1">IFERROR(__xludf.DUMMYFUNCTION("IMPORTRANGE(""https://docs.google.com/spreadsheets/d/1IYY_tgx_IHuhSq3AJ5eI5OnqOPBNLWSHKh2a30DoXe8/edit?usp=sharing"",""ภูเก็ต!J346"")"),0)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IFERROR(__xludf.DUMMYFUNCTION("IMPORTRANGE(""https://docs.google.com/spreadsheets/d/1IYY_tgx_IHuhSq3AJ5eI5OnqOPBNLWSHKh2a30DoXe8/edit?usp=sharing"",""ภูเก็ต!I347"")"),0)</f>
        <v>0</v>
      </c>
      <c r="J452" s="194">
        <f ca="1">IFERROR(__xludf.DUMMYFUNCTION("IMPORTRANGE(""https://docs.google.com/spreadsheets/d/1IYY_tgx_IHuhSq3AJ5eI5OnqOPBNLWSHKh2a30DoXe8/edit?usp=sharing"",""ภูเก็ต!J347"")"),0)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IFERROR(__xludf.DUMMYFUNCTION("IMPORTRANGE(""https://docs.google.com/spreadsheets/d/1IYY_tgx_IHuhSq3AJ5eI5OnqOPBNLWSHKh2a30DoXe8/edit?usp=sharing"",""ภูเก็ต!J348"")"),0)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IFERROR(__xludf.DUMMYFUNCTION("IMPORTRANGE(""https://docs.google.com/spreadsheets/d/1IYY_tgx_IHuhSq3AJ5eI5OnqOPBNLWSHKh2a30DoXe8/edit?usp=sharing"",""ภูเก็ต!J349"")"),0)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IFERROR(__xludf.DUMMYFUNCTION("IMPORTRANGE(""https://docs.google.com/spreadsheets/d/1IYY_tgx_IHuhSq3AJ5eI5OnqOPBNLWSHKh2a30DoXe8/edit?usp=sharing"",""ภูเก็ต!L351"")"),0)</f>
        <v>0</v>
      </c>
      <c r="M456" s="168"/>
      <c r="N456" s="175">
        <f ca="1">IFERROR(__xludf.DUMMYFUNCTION("IMPORTRANGE(""https://docs.google.com/spreadsheets/d/1IYY_tgx_IHuhSq3AJ5eI5OnqOPBNLWSHKh2a30DoXe8/edit?usp=sharing"",""ภูเก็ต!M351"")"),0)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5">
        <f ca="1">IFERROR(__xludf.DUMMYFUNCTION("IMPORTRANGE(""https://docs.google.com/spreadsheets/d/1IYY_tgx_IHuhSq3AJ5eI5OnqOPBNLWSHKh2a30DoXe8/edit?usp=sharing"",""ภูเก็ต!M352"")"),0)</f>
        <v>0</v>
      </c>
      <c r="O457" s="175">
        <f t="shared" ca="1" si="116"/>
        <v>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IFERROR(__xludf.DUMMYFUNCTION("IMPORTRANGE(""https://docs.google.com/spreadsheets/d/1IYY_tgx_IHuhSq3AJ5eI5OnqOPBNLWSHKh2a30DoXe8/edit?usp=sharing"",""ภูเก็ต!L353"")"),0)</f>
        <v>0</v>
      </c>
      <c r="M458" s="175"/>
      <c r="N458" s="175">
        <f ca="1">IFERROR(__xludf.DUMMYFUNCTION("IMPORTRANGE(""https://docs.google.com/spreadsheets/d/1IYY_tgx_IHuhSq3AJ5eI5OnqOPBNLWSHKh2a30DoXe8/edit?usp=sharing"",""ภูเก็ต!M353"")"),0)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IFERROR(__xludf.DUMMYFUNCTION("IMPORTRANGE(""https://docs.google.com/spreadsheets/d/1IYY_tgx_IHuhSq3AJ5eI5OnqOPBNLWSHKh2a30DoXe8/edit?usp=sharing"",""ภูเก็ต!L354"")"),0)</f>
        <v>0</v>
      </c>
      <c r="M459" s="175"/>
      <c r="N459" s="175">
        <f ca="1">IFERROR(__xludf.DUMMYFUNCTION("IMPORTRANGE(""https://docs.google.com/spreadsheets/d/1IYY_tgx_IHuhSq3AJ5eI5OnqOPBNLWSHKh2a30DoXe8/edit?usp=sharing"",""ภูเก็ต!M354"")"),0)</f>
        <v>0</v>
      </c>
      <c r="O459" s="175">
        <f t="shared" ca="1" si="116"/>
        <v>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IFERROR(__xludf.DUMMYFUNCTION("IMPORTRANGE(""https://docs.google.com/spreadsheets/d/1IYY_tgx_IHuhSq3AJ5eI5OnqOPBNLWSHKh2a30DoXe8/edit?usp=sharing"",""ภูเก็ต!M355"")"),0)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IFERROR(__xludf.DUMMYFUNCTION("IMPORTRANGE(""https://docs.google.com/spreadsheets/d/1IYY_tgx_IHuhSq3AJ5eI5OnqOPBNLWSHKh2a30DoXe8/edit?usp=sharing"",""ภูเก็ต!M356"")"),0)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IFERROR(__xludf.DUMMYFUNCTION("IMPORTRANGE(""https://docs.google.com/spreadsheets/d/1IYY_tgx_IHuhSq3AJ5eI5OnqOPBNLWSHKh2a30DoXe8/edit?usp=sharing"",""ภูเก็ต!I359"")"),0)</f>
        <v>0</v>
      </c>
      <c r="J464" s="273">
        <f ca="1">IFERROR(__xludf.DUMMYFUNCTION("IMPORTRANGE(""https://docs.google.com/spreadsheets/d/1IYY_tgx_IHuhSq3AJ5eI5OnqOPBNLWSHKh2a30DoXe8/edit?usp=sharing"",""ภูเก็ต!J359"")"),0)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IFERROR(__xludf.DUMMYFUNCTION("IMPORTRANGE(""https://docs.google.com/spreadsheets/d/1IYY_tgx_IHuhSq3AJ5eI5OnqOPBNLWSHKh2a30DoXe8/edit?usp=sharing"",""ภูเก็ต!I362"")"),0)</f>
        <v>0</v>
      </c>
      <c r="J467" s="195">
        <f ca="1">IFERROR(__xludf.DUMMYFUNCTION("IMPORTRANGE(""https://docs.google.com/spreadsheets/d/1IYY_tgx_IHuhSq3AJ5eI5OnqOPBNLWSHKh2a30DoXe8/edit?usp=sharing"",""ภูเก็ต!J362"")"),0)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IFERROR(__xludf.DUMMYFUNCTION("IMPORTRANGE(""https://docs.google.com/spreadsheets/d/1IYY_tgx_IHuhSq3AJ5eI5OnqOPBNLWSHKh2a30DoXe8/edit?usp=sharing"",""ภูเก็ต!I363"")"),0)</f>
        <v>0</v>
      </c>
      <c r="J468" s="195">
        <f ca="1">IFERROR(__xludf.DUMMYFUNCTION("IMPORTRANGE(""https://docs.google.com/spreadsheets/d/1IYY_tgx_IHuhSq3AJ5eI5OnqOPBNLWSHKh2a30DoXe8/edit?usp=sharing"",""ภูเก็ต!J363"")"),0)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IFERROR(__xludf.DUMMYFUNCTION("IMPORTRANGE(""https://docs.google.com/spreadsheets/d/1IYY_tgx_IHuhSq3AJ5eI5OnqOPBNLWSHKh2a30DoXe8/edit?usp=sharing"",""ภูเก็ต!I364"")"),0)</f>
        <v>0</v>
      </c>
      <c r="J469" s="195">
        <f ca="1">IFERROR(__xludf.DUMMYFUNCTION("IMPORTRANGE(""https://docs.google.com/spreadsheets/d/1IYY_tgx_IHuhSq3AJ5eI5OnqOPBNLWSHKh2a30DoXe8/edit?usp=sharing"",""ภูเก็ต!J364"")"),0)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IFERROR(__xludf.DUMMYFUNCTION("IMPORTRANGE(""https://docs.google.com/spreadsheets/d/1IYY_tgx_IHuhSq3AJ5eI5OnqOPBNLWSHKh2a30DoXe8/edit?usp=sharing"",""ภูเก็ต!I365"")"),0)</f>
        <v>0</v>
      </c>
      <c r="J470" s="195">
        <f ca="1">IFERROR(__xludf.DUMMYFUNCTION("IMPORTRANGE(""https://docs.google.com/spreadsheets/d/1IYY_tgx_IHuhSq3AJ5eI5OnqOPBNLWSHKh2a30DoXe8/edit?usp=sharing"",""ภูเก็ต!J365"")"),0)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IFERROR(__xludf.DUMMYFUNCTION("IMPORTRANGE(""https://docs.google.com/spreadsheets/d/1IYY_tgx_IHuhSq3AJ5eI5OnqOPBNLWSHKh2a30DoXe8/edit?usp=sharing"",""ภูเก็ต!I366"")"),0)</f>
        <v>0</v>
      </c>
      <c r="J471" s="195">
        <f ca="1">IFERROR(__xludf.DUMMYFUNCTION("IMPORTRANGE(""https://docs.google.com/spreadsheets/d/1IYY_tgx_IHuhSq3AJ5eI5OnqOPBNLWSHKh2a30DoXe8/edit?usp=sharing"",""ภูเก็ต!J366"")"),0)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IFERROR(__xludf.DUMMYFUNCTION("IMPORTRANGE(""https://docs.google.com/spreadsheets/d/1IYY_tgx_IHuhSq3AJ5eI5OnqOPBNLWSHKh2a30DoXe8/edit?usp=sharing"",""ภูเก็ต!I367"")"),0)</f>
        <v>0</v>
      </c>
      <c r="J472" s="195">
        <f ca="1">IFERROR(__xludf.DUMMYFUNCTION("IMPORTRANGE(""https://docs.google.com/spreadsheets/d/1IYY_tgx_IHuhSq3AJ5eI5OnqOPBNLWSHKh2a30DoXe8/edit?usp=sharing"",""ภูเก็ต!J367"")"),0)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IFERROR(__xludf.DUMMYFUNCTION("IMPORTRANGE(""https://docs.google.com/spreadsheets/d/1IYY_tgx_IHuhSq3AJ5eI5OnqOPBNLWSHKh2a30DoXe8/edit?usp=sharing"",""ภูเก็ต!I370"")"),0)</f>
        <v>0</v>
      </c>
      <c r="J475" s="195">
        <f ca="1">IFERROR(__xludf.DUMMYFUNCTION("IMPORTRANGE(""https://docs.google.com/spreadsheets/d/1IYY_tgx_IHuhSq3AJ5eI5OnqOPBNLWSHKh2a30DoXe8/edit?usp=sharing"",""ภูเก็ต!J370"")"),0)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IFERROR(__xludf.DUMMYFUNCTION("IMPORTRANGE(""https://docs.google.com/spreadsheets/d/1IYY_tgx_IHuhSq3AJ5eI5OnqOPBNLWSHKh2a30DoXe8/edit?usp=sharing"",""ภูเก็ต!I371"")"),0)</f>
        <v>0</v>
      </c>
      <c r="J476" s="195">
        <f ca="1">IFERROR(__xludf.DUMMYFUNCTION("IMPORTRANGE(""https://docs.google.com/spreadsheets/d/1IYY_tgx_IHuhSq3AJ5eI5OnqOPBNLWSHKh2a30DoXe8/edit?usp=sharing"",""ภูเก็ต!J371"")"),0)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IFERROR(__xludf.DUMMYFUNCTION("IMPORTRANGE(""https://docs.google.com/spreadsheets/d/1IYY_tgx_IHuhSq3AJ5eI5OnqOPBNLWSHKh2a30DoXe8/edit?usp=sharing"",""ภูเก็ต!I372"")"),0)</f>
        <v>0</v>
      </c>
      <c r="J477" s="195">
        <f ca="1">IFERROR(__xludf.DUMMYFUNCTION("IMPORTRANGE(""https://docs.google.com/spreadsheets/d/1IYY_tgx_IHuhSq3AJ5eI5OnqOPBNLWSHKh2a30DoXe8/edit?usp=sharing"",""ภูเก็ต!J372"")"),0)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IFERROR(__xludf.DUMMYFUNCTION("IMPORTRANGE(""https://docs.google.com/spreadsheets/d/1IYY_tgx_IHuhSq3AJ5eI5OnqOPBNLWSHKh2a30DoXe8/edit?usp=sharing"",""ภูเก็ต!I373"")"),0)</f>
        <v>0</v>
      </c>
      <c r="J478" s="195">
        <f ca="1">IFERROR(__xludf.DUMMYFUNCTION("IMPORTRANGE(""https://docs.google.com/spreadsheets/d/1IYY_tgx_IHuhSq3AJ5eI5OnqOPBNLWSHKh2a30DoXe8/edit?usp=sharing"",""ภูเก็ต!J373"")"),0)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IFERROR(__xludf.DUMMYFUNCTION("IMPORTRANGE(""https://docs.google.com/spreadsheets/d/1IYY_tgx_IHuhSq3AJ5eI5OnqOPBNLWSHKh2a30DoXe8/edit?usp=sharing"",""ภูเก็ต!I374"")"),0)</f>
        <v>0</v>
      </c>
      <c r="J479" s="195">
        <f ca="1">IFERROR(__xludf.DUMMYFUNCTION("IMPORTRANGE(""https://docs.google.com/spreadsheets/d/1IYY_tgx_IHuhSq3AJ5eI5OnqOPBNLWSHKh2a30DoXe8/edit?usp=sharing"",""ภูเก็ต!J374"")"),0)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IFERROR(__xludf.DUMMYFUNCTION("IMPORTRANGE(""https://docs.google.com/spreadsheets/d/1IYY_tgx_IHuhSq3AJ5eI5OnqOPBNLWSHKh2a30DoXe8/edit?usp=sharing"",""ภูเก็ต!I375"")"),0)</f>
        <v>0</v>
      </c>
      <c r="J480" s="195">
        <f ca="1">IFERROR(__xludf.DUMMYFUNCTION("IMPORTRANGE(""https://docs.google.com/spreadsheets/d/1IYY_tgx_IHuhSq3AJ5eI5OnqOPBNLWSHKh2a30DoXe8/edit?usp=sharing"",""ภูเก็ต!J375"")"),0)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IFERROR(__xludf.DUMMYFUNCTION("IMPORTRANGE(""https://docs.google.com/spreadsheets/d/1IYY_tgx_IHuhSq3AJ5eI5OnqOPBNLWSHKh2a30DoXe8/edit?usp=sharing"",""ภูเก็ต!I378"")"),0)</f>
        <v>0</v>
      </c>
      <c r="J483" s="195">
        <f ca="1">IFERROR(__xludf.DUMMYFUNCTION("IMPORTRANGE(""https://docs.google.com/spreadsheets/d/1IYY_tgx_IHuhSq3AJ5eI5OnqOPBNLWSHKh2a30DoXe8/edit?usp=sharing"",""ภูเก็ต!J378"")"),0)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IFERROR(__xludf.DUMMYFUNCTION("IMPORTRANGE(""https://docs.google.com/spreadsheets/d/1IYY_tgx_IHuhSq3AJ5eI5OnqOPBNLWSHKh2a30DoXe8/edit?usp=sharing"",""ภูเก็ต!I379"")"),0)</f>
        <v>0</v>
      </c>
      <c r="J484" s="195">
        <f ca="1">IFERROR(__xludf.DUMMYFUNCTION("IMPORTRANGE(""https://docs.google.com/spreadsheets/d/1IYY_tgx_IHuhSq3AJ5eI5OnqOPBNLWSHKh2a30DoXe8/edit?usp=sharing"",""ภูเก็ต!J379"")"),0)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IFERROR(__xludf.DUMMYFUNCTION("IMPORTRANGE(""https://docs.google.com/spreadsheets/d/1IYY_tgx_IHuhSq3AJ5eI5OnqOPBNLWSHKh2a30DoXe8/edit?usp=sharing"",""ภูเก็ต!I380"")"),0)</f>
        <v>0</v>
      </c>
      <c r="J485" s="195">
        <f ca="1">IFERROR(__xludf.DUMMYFUNCTION("IMPORTRANGE(""https://docs.google.com/spreadsheets/d/1IYY_tgx_IHuhSq3AJ5eI5OnqOPBNLWSHKh2a30DoXe8/edit?usp=sharing"",""ภูเก็ต!J380"")"),0)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IFERROR(__xludf.DUMMYFUNCTION("IMPORTRANGE(""https://docs.google.com/spreadsheets/d/1IYY_tgx_IHuhSq3AJ5eI5OnqOPBNLWSHKh2a30DoXe8/edit?usp=sharing"",""ภูเก็ต!I381"")"),0)</f>
        <v>0</v>
      </c>
      <c r="J486" s="195">
        <f ca="1">IFERROR(__xludf.DUMMYFUNCTION("IMPORTRANGE(""https://docs.google.com/spreadsheets/d/1IYY_tgx_IHuhSq3AJ5eI5OnqOPBNLWSHKh2a30DoXe8/edit?usp=sharing"",""ภูเก็ต!J381"")"),0)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IFERROR(__xludf.DUMMYFUNCTION("IMPORTRANGE(""https://docs.google.com/spreadsheets/d/1IYY_tgx_IHuhSq3AJ5eI5OnqOPBNLWSHKh2a30DoXe8/edit?usp=sharing"",""ภูเก็ต!I384"")"),0)</f>
        <v>0</v>
      </c>
      <c r="J489" s="195">
        <f ca="1">IFERROR(__xludf.DUMMYFUNCTION("IMPORTRANGE(""https://docs.google.com/spreadsheets/d/1IYY_tgx_IHuhSq3AJ5eI5OnqOPBNLWSHKh2a30DoXe8/edit?usp=sharing"",""ภูเก็ต!J384"")"),0)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IFERROR(__xludf.DUMMYFUNCTION("IMPORTRANGE(""https://docs.google.com/spreadsheets/d/1IYY_tgx_IHuhSq3AJ5eI5OnqOPBNLWSHKh2a30DoXe8/edit?usp=sharing"",""ภูเก็ต!I385"")"),0)</f>
        <v>0</v>
      </c>
      <c r="J490" s="195">
        <f ca="1">IFERROR(__xludf.DUMMYFUNCTION("IMPORTRANGE(""https://docs.google.com/spreadsheets/d/1IYY_tgx_IHuhSq3AJ5eI5OnqOPBNLWSHKh2a30DoXe8/edit?usp=sharing"",""ภูเก็ต!J385"")"),0)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IFERROR(__xludf.DUMMYFUNCTION("IMPORTRANGE(""https://docs.google.com/spreadsheets/d/1IYY_tgx_IHuhSq3AJ5eI5OnqOPBNLWSHKh2a30DoXe8/edit?usp=sharing"",""ภูเก็ต!I386"")"),0)</f>
        <v>0</v>
      </c>
      <c r="J491" s="195">
        <f ca="1">IFERROR(__xludf.DUMMYFUNCTION("IMPORTRANGE(""https://docs.google.com/spreadsheets/d/1IYY_tgx_IHuhSq3AJ5eI5OnqOPBNLWSHKh2a30DoXe8/edit?usp=sharing"",""ภูเก็ต!J386"")"),0)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IFERROR(__xludf.DUMMYFUNCTION("IMPORTRANGE(""https://docs.google.com/spreadsheets/d/1IYY_tgx_IHuhSq3AJ5eI5OnqOPBNLWSHKh2a30DoXe8/edit?usp=sharing"",""ภูเก็ต!I387"")"),0)</f>
        <v>0</v>
      </c>
      <c r="J492" s="195">
        <f ca="1">IFERROR(__xludf.DUMMYFUNCTION("IMPORTRANGE(""https://docs.google.com/spreadsheets/d/1IYY_tgx_IHuhSq3AJ5eI5OnqOPBNLWSHKh2a30DoXe8/edit?usp=sharing"",""ภูเก็ต!J387"")"),0)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IFERROR(__xludf.DUMMYFUNCTION("IMPORTRANGE(""https://docs.google.com/spreadsheets/d/1IYY_tgx_IHuhSq3AJ5eI5OnqOPBNLWSHKh2a30DoXe8/edit?usp=sharing"",""ภูเก็ต!I388"")"),0)</f>
        <v>0</v>
      </c>
      <c r="J493" s="195">
        <f ca="1">IFERROR(__xludf.DUMMYFUNCTION("IMPORTRANGE(""https://docs.google.com/spreadsheets/d/1IYY_tgx_IHuhSq3AJ5eI5OnqOPBNLWSHKh2a30DoXe8/edit?usp=sharing"",""ภูเก็ต!J388"")"),0)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IFERROR(__xludf.DUMMYFUNCTION("IMPORTRANGE(""https://docs.google.com/spreadsheets/d/1IYY_tgx_IHuhSq3AJ5eI5OnqOPBNLWSHKh2a30DoXe8/edit?usp=sharing"",""ภูเก็ต!I395"")"),0)</f>
        <v>0</v>
      </c>
      <c r="J500" s="166">
        <f ca="1">IFERROR(__xludf.DUMMYFUNCTION("IMPORTRANGE(""https://docs.google.com/spreadsheets/d/1IYY_tgx_IHuhSq3AJ5eI5OnqOPBNLWSHKh2a30DoXe8/edit?usp=sharing"",""ภูเก็ต!J395"")"),0)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IFERROR(__xludf.DUMMYFUNCTION("IMPORTRANGE(""https://docs.google.com/spreadsheets/d/1IYY_tgx_IHuhSq3AJ5eI5OnqOPBNLWSHKh2a30DoXe8/edit?usp=sharing"",""ภูเก็ต!I396"")"),0)</f>
        <v>0</v>
      </c>
      <c r="J501" s="166">
        <f ca="1">IFERROR(__xludf.DUMMYFUNCTION("IMPORTRANGE(""https://docs.google.com/spreadsheets/d/1IYY_tgx_IHuhSq3AJ5eI5OnqOPBNLWSHKh2a30DoXe8/edit?usp=sharing"",""ภูเก็ต!J396"")"),0)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IFERROR(__xludf.DUMMYFUNCTION("IMPORTRANGE(""https://docs.google.com/spreadsheets/d/1IYY_tgx_IHuhSq3AJ5eI5OnqOPBNLWSHKh2a30DoXe8/edit?usp=sharing"",""ภูเก็ต!I397"")"),0)</f>
        <v>0</v>
      </c>
      <c r="J502" s="195">
        <f ca="1">IFERROR(__xludf.DUMMYFUNCTION("IMPORTRANGE(""https://docs.google.com/spreadsheets/d/1IYY_tgx_IHuhSq3AJ5eI5OnqOPBNLWSHKh2a30DoXe8/edit?usp=sharing"",""ภูเก็ต!J397"")"),0)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IFERROR(__xludf.DUMMYFUNCTION("IMPORTRANGE(""https://docs.google.com/spreadsheets/d/1IYY_tgx_IHuhSq3AJ5eI5OnqOPBNLWSHKh2a30DoXe8/edit?usp=sharing"",""ภูเก็ต!I398"")"),0)</f>
        <v>0</v>
      </c>
      <c r="J503" s="204">
        <f ca="1">IFERROR(__xludf.DUMMYFUNCTION("IMPORTRANGE(""https://docs.google.com/spreadsheets/d/1IYY_tgx_IHuhSq3AJ5eI5OnqOPBNLWSHKh2a30DoXe8/edit?usp=sharing"",""ภูเก็ต!J398"")"),0)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IFERROR(__xludf.DUMMYFUNCTION("IMPORTRANGE(""https://docs.google.com/spreadsheets/d/1IYY_tgx_IHuhSq3AJ5eI5OnqOPBNLWSHKh2a30DoXe8/edit?usp=sharing"",""ภูเก็ต!I399"")"),0)</f>
        <v>0</v>
      </c>
      <c r="J504" s="195">
        <f ca="1">IFERROR(__xludf.DUMMYFUNCTION("IMPORTRANGE(""https://docs.google.com/spreadsheets/d/1IYY_tgx_IHuhSq3AJ5eI5OnqOPBNLWSHKh2a30DoXe8/edit?usp=sharing"",""ภูเก็ต!J399"")"),0)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IFERROR(__xludf.DUMMYFUNCTION("IMPORTRANGE(""https://docs.google.com/spreadsheets/d/1IYY_tgx_IHuhSq3AJ5eI5OnqOPBNLWSHKh2a30DoXe8/edit?usp=sharing"",""ภูเก็ต!I400"")"),0)</f>
        <v>0</v>
      </c>
      <c r="J505" s="204">
        <f ca="1">IFERROR(__xludf.DUMMYFUNCTION("IMPORTRANGE(""https://docs.google.com/spreadsheets/d/1IYY_tgx_IHuhSq3AJ5eI5OnqOPBNLWSHKh2a30DoXe8/edit?usp=sharing"",""ภูเก็ต!J400"")"),0)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IFERROR(__xludf.DUMMYFUNCTION("IMPORTRANGE(""https://docs.google.com/spreadsheets/d/1IYY_tgx_IHuhSq3AJ5eI5OnqOPBNLWSHKh2a30DoXe8/edit?usp=sharing"",""ภูเก็ต!I401"")"),0)</f>
        <v>0</v>
      </c>
      <c r="J506" s="195">
        <f ca="1">IFERROR(__xludf.DUMMYFUNCTION("IMPORTRANGE(""https://docs.google.com/spreadsheets/d/1IYY_tgx_IHuhSq3AJ5eI5OnqOPBNLWSHKh2a30DoXe8/edit?usp=sharing"",""ภูเก็ต!J401"")"),0)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IFERROR(__xludf.DUMMYFUNCTION("IMPORTRANGE(""https://docs.google.com/spreadsheets/d/1IYY_tgx_IHuhSq3AJ5eI5OnqOPBNLWSHKh2a30DoXe8/edit?usp=sharing"",""ภูเก็ต!I402"")"),0)</f>
        <v>0</v>
      </c>
      <c r="J507" s="204">
        <f ca="1">IFERROR(__xludf.DUMMYFUNCTION("IMPORTRANGE(""https://docs.google.com/spreadsheets/d/1IYY_tgx_IHuhSq3AJ5eI5OnqOPBNLWSHKh2a30DoXe8/edit?usp=sharing"",""ภูเก็ต!J402"")"),0)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IFERROR(__xludf.DUMMYFUNCTION("IMPORTRANGE(""https://docs.google.com/spreadsheets/d/1IYY_tgx_IHuhSq3AJ5eI5OnqOPBNLWSHKh2a30DoXe8/edit?usp=sharing"",""ภูเก็ต!I403"")"),0)</f>
        <v>0</v>
      </c>
      <c r="J508" s="166">
        <f ca="1">IFERROR(__xludf.DUMMYFUNCTION("IMPORTRANGE(""https://docs.google.com/spreadsheets/d/1IYY_tgx_IHuhSq3AJ5eI5OnqOPBNLWSHKh2a30DoXe8/edit?usp=sharing"",""ภูเก็ต!J403"")"),0)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IFERROR(__xludf.DUMMYFUNCTION("IMPORTRANGE(""https://docs.google.com/spreadsheets/d/1IYY_tgx_IHuhSq3AJ5eI5OnqOPBNLWSHKh2a30DoXe8/edit?usp=sharing"",""ภูเก็ต!I404"")"),0)</f>
        <v>0</v>
      </c>
      <c r="J509" s="166">
        <f ca="1">IFERROR(__xludf.DUMMYFUNCTION("IMPORTRANGE(""https://docs.google.com/spreadsheets/d/1IYY_tgx_IHuhSq3AJ5eI5OnqOPBNLWSHKh2a30DoXe8/edit?usp=sharing"",""ภูเก็ต!J404"")"),0)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IFERROR(__xludf.DUMMYFUNCTION("IMPORTRANGE(""https://docs.google.com/spreadsheets/d/1IYY_tgx_IHuhSq3AJ5eI5OnqOPBNLWSHKh2a30DoXe8/edit?usp=sharing"",""ภูเก็ต!I405"")"),0)</f>
        <v>0</v>
      </c>
      <c r="J510" s="204">
        <f ca="1">IFERROR(__xludf.DUMMYFUNCTION("IMPORTRANGE(""https://docs.google.com/spreadsheets/d/1IYY_tgx_IHuhSq3AJ5eI5OnqOPBNLWSHKh2a30DoXe8/edit?usp=sharing"",""ภูเก็ต!J405"")"),0)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IFERROR(__xludf.DUMMYFUNCTION("IMPORTRANGE(""https://docs.google.com/spreadsheets/d/1IYY_tgx_IHuhSq3AJ5eI5OnqOPBNLWSHKh2a30DoXe8/edit?usp=sharing"",""ภูเก็ต!I406"")"),0)</f>
        <v>0</v>
      </c>
      <c r="J511" s="204">
        <f ca="1">IFERROR(__xludf.DUMMYFUNCTION("IMPORTRANGE(""https://docs.google.com/spreadsheets/d/1IYY_tgx_IHuhSq3AJ5eI5OnqOPBNLWSHKh2a30DoXe8/edit?usp=sharing"",""ภูเก็ต!J406"")"),0)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IFERROR(__xludf.DUMMYFUNCTION("IMPORTRANGE(""https://docs.google.com/spreadsheets/d/1IYY_tgx_IHuhSq3AJ5eI5OnqOPBNLWSHKh2a30DoXe8/edit?usp=sharing"",""ภูเก็ต!I407"")"),0)</f>
        <v>0</v>
      </c>
      <c r="J512" s="204">
        <f ca="1">IFERROR(__xludf.DUMMYFUNCTION("IMPORTRANGE(""https://docs.google.com/spreadsheets/d/1IYY_tgx_IHuhSq3AJ5eI5OnqOPBNLWSHKh2a30DoXe8/edit?usp=sharing"",""ภูเก็ต!J407"")"),0)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IFERROR(__xludf.DUMMYFUNCTION("IMPORTRANGE(""https://docs.google.com/spreadsheets/d/1IYY_tgx_IHuhSq3AJ5eI5OnqOPBNLWSHKh2a30DoXe8/edit?usp=sharing"",""ภูเก็ต!I408"")"),0)</f>
        <v>0</v>
      </c>
      <c r="J513" s="204">
        <f ca="1">IFERROR(__xludf.DUMMYFUNCTION("IMPORTRANGE(""https://docs.google.com/spreadsheets/d/1IYY_tgx_IHuhSq3AJ5eI5OnqOPBNLWSHKh2a30DoXe8/edit?usp=sharing"",""ภูเก็ต!J408"")"),0)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IFERROR(__xludf.DUMMYFUNCTION("IMPORTRANGE(""https://docs.google.com/spreadsheets/d/1IYY_tgx_IHuhSq3AJ5eI5OnqOPBNLWSHKh2a30DoXe8/edit?usp=sharing"",""ภูเก็ต!I409"")"),0)</f>
        <v>0</v>
      </c>
      <c r="J514" s="204">
        <f ca="1">IFERROR(__xludf.DUMMYFUNCTION("IMPORTRANGE(""https://docs.google.com/spreadsheets/d/1IYY_tgx_IHuhSq3AJ5eI5OnqOPBNLWSHKh2a30DoXe8/edit?usp=sharing"",""ภูเก็ต!J409"")"),0)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IFERROR(__xludf.DUMMYFUNCTION("IMPORTRANGE(""https://docs.google.com/spreadsheets/d/1IYY_tgx_IHuhSq3AJ5eI5OnqOPBNLWSHKh2a30DoXe8/edit?usp=sharing"",""ภูเก็ต!I410"")"),0)</f>
        <v>0</v>
      </c>
      <c r="J515" s="204">
        <f ca="1">IFERROR(__xludf.DUMMYFUNCTION("IMPORTRANGE(""https://docs.google.com/spreadsheets/d/1IYY_tgx_IHuhSq3AJ5eI5OnqOPBNLWSHKh2a30DoXe8/edit?usp=sharing"",""ภูเก็ต!J410"")"),0)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IFERROR(__xludf.DUMMYFUNCTION("IMPORTRANGE(""https://docs.google.com/spreadsheets/d/1IYY_tgx_IHuhSq3AJ5eI5OnqOPBNLWSHKh2a30DoXe8/edit?usp=sharing"",""ภูเก็ต!I411"")"),0)</f>
        <v>0</v>
      </c>
      <c r="J516" s="273">
        <f ca="1">IFERROR(__xludf.DUMMYFUNCTION("IMPORTRANGE(""https://docs.google.com/spreadsheets/d/1IYY_tgx_IHuhSq3AJ5eI5OnqOPBNLWSHKh2a30DoXe8/edit?usp=sharing"",""ภูเก็ต!J411"")"),0)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IFERROR(__xludf.DUMMYFUNCTION("IMPORTRANGE(""https://docs.google.com/spreadsheets/d/1IYY_tgx_IHuhSq3AJ5eI5OnqOPBNLWSHKh2a30DoXe8/edit?usp=sharing"",""ภูเก็ต!I414"")"),0)</f>
        <v>0</v>
      </c>
      <c r="J519" s="194">
        <f ca="1">IFERROR(__xludf.DUMMYFUNCTION("IMPORTRANGE(""https://docs.google.com/spreadsheets/d/1IYY_tgx_IHuhSq3AJ5eI5OnqOPBNLWSHKh2a30DoXe8/edit?usp=sharing"",""ภูเก็ต!J414"")"),0)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IFERROR(__xludf.DUMMYFUNCTION("IMPORTRANGE(""https://docs.google.com/spreadsheets/d/1IYY_tgx_IHuhSq3AJ5eI5OnqOPBNLWSHKh2a30DoXe8/edit?usp=sharing"",""ภูเก็ต!I415"")"),0)</f>
        <v>0</v>
      </c>
      <c r="J520" s="194">
        <f ca="1">IFERROR(__xludf.DUMMYFUNCTION("IMPORTRANGE(""https://docs.google.com/spreadsheets/d/1IYY_tgx_IHuhSq3AJ5eI5OnqOPBNLWSHKh2a30DoXe8/edit?usp=sharing"",""ภูเก็ต!J415"")"),0)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IFERROR(__xludf.DUMMYFUNCTION("IMPORTRANGE(""https://docs.google.com/spreadsheets/d/1IYY_tgx_IHuhSq3AJ5eI5OnqOPBNLWSHKh2a30DoXe8/edit?usp=sharing"",""ภูเก็ต!I416"")"),0)</f>
        <v>0</v>
      </c>
      <c r="J521" s="194">
        <f ca="1">IFERROR(__xludf.DUMMYFUNCTION("IMPORTRANGE(""https://docs.google.com/spreadsheets/d/1IYY_tgx_IHuhSq3AJ5eI5OnqOPBNLWSHKh2a30DoXe8/edit?usp=sharing"",""ภูเก็ต!J416"")"),0)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IFERROR(__xludf.DUMMYFUNCTION("IMPORTRANGE(""https://docs.google.com/spreadsheets/d/1IYY_tgx_IHuhSq3AJ5eI5OnqOPBNLWSHKh2a30DoXe8/edit?usp=sharing"",""ภูเก็ต!I417"")"),0)</f>
        <v>0</v>
      </c>
      <c r="J522" s="194">
        <f ca="1">IFERROR(__xludf.DUMMYFUNCTION("IMPORTRANGE(""https://docs.google.com/spreadsheets/d/1IYY_tgx_IHuhSq3AJ5eI5OnqOPBNLWSHKh2a30DoXe8/edit?usp=sharing"",""ภูเก็ต!J417"")"),0)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IFERROR(__xludf.DUMMYFUNCTION("IMPORTRANGE(""https://docs.google.com/spreadsheets/d/1IYY_tgx_IHuhSq3AJ5eI5OnqOPBNLWSHKh2a30DoXe8/edit?usp=sharing"",""ภูเก็ต!I418"")"),0)</f>
        <v>0</v>
      </c>
      <c r="J523" s="194">
        <f ca="1">IFERROR(__xludf.DUMMYFUNCTION("IMPORTRANGE(""https://docs.google.com/spreadsheets/d/1IYY_tgx_IHuhSq3AJ5eI5OnqOPBNLWSHKh2a30DoXe8/edit?usp=sharing"",""ภูเก็ต!J418"")"),0)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IFERROR(__xludf.DUMMYFUNCTION("IMPORTRANGE(""https://docs.google.com/spreadsheets/d/1IYY_tgx_IHuhSq3AJ5eI5OnqOPBNLWSHKh2a30DoXe8/edit?usp=sharing"",""ภูเก็ต!I419"")"),0)</f>
        <v>0</v>
      </c>
      <c r="J524" s="194">
        <f ca="1">IFERROR(__xludf.DUMMYFUNCTION("IMPORTRANGE(""https://docs.google.com/spreadsheets/d/1IYY_tgx_IHuhSq3AJ5eI5OnqOPBNLWSHKh2a30DoXe8/edit?usp=sharing"",""ภูเก็ต!J419"")"),0)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IFERROR(__xludf.DUMMYFUNCTION("IMPORTRANGE(""https://docs.google.com/spreadsheets/d/1IYY_tgx_IHuhSq3AJ5eI5OnqOPBNLWSHKh2a30DoXe8/edit?usp=sharing"",""ภูเก็ต!I422"")"),0)</f>
        <v>0</v>
      </c>
      <c r="J527" s="204">
        <f ca="1">IFERROR(__xludf.DUMMYFUNCTION("IMPORTRANGE(""https://docs.google.com/spreadsheets/d/1IYY_tgx_IHuhSq3AJ5eI5OnqOPBNLWSHKh2a30DoXe8/edit?usp=sharing"",""ภูเก็ต!J422"")"),0)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IFERROR(__xludf.DUMMYFUNCTION("IMPORTRANGE(""https://docs.google.com/spreadsheets/d/1IYY_tgx_IHuhSq3AJ5eI5OnqOPBNLWSHKh2a30DoXe8/edit?usp=sharing"",""ภูเก็ต!I423"")"),0)</f>
        <v>0</v>
      </c>
      <c r="J528" s="204">
        <f ca="1">IFERROR(__xludf.DUMMYFUNCTION("IMPORTRANGE(""https://docs.google.com/spreadsheets/d/1IYY_tgx_IHuhSq3AJ5eI5OnqOPBNLWSHKh2a30DoXe8/edit?usp=sharing"",""ภูเก็ต!J423"")"),0)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IFERROR(__xludf.DUMMYFUNCTION("IMPORTRANGE(""https://docs.google.com/spreadsheets/d/1IYY_tgx_IHuhSq3AJ5eI5OnqOPBNLWSHKh2a30DoXe8/edit?usp=sharing"",""ภูเก็ต!I424"")"),0)</f>
        <v>0</v>
      </c>
      <c r="J529" s="204">
        <f ca="1">IFERROR(__xludf.DUMMYFUNCTION("IMPORTRANGE(""https://docs.google.com/spreadsheets/d/1IYY_tgx_IHuhSq3AJ5eI5OnqOPBNLWSHKh2a30DoXe8/edit?usp=sharing"",""ภูเก็ต!J424"")"),0)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IFERROR(__xludf.DUMMYFUNCTION("IMPORTRANGE(""https://docs.google.com/spreadsheets/d/1IYY_tgx_IHuhSq3AJ5eI5OnqOPBNLWSHKh2a30DoXe8/edit?usp=sharing"",""ภูเก็ต!I425"")"),0)</f>
        <v>0</v>
      </c>
      <c r="J530" s="204">
        <f ca="1">IFERROR(__xludf.DUMMYFUNCTION("IMPORTRANGE(""https://docs.google.com/spreadsheets/d/1IYY_tgx_IHuhSq3AJ5eI5OnqOPBNLWSHKh2a30DoXe8/edit?usp=sharing"",""ภูเก็ต!J425"")"),0)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IFERROR(__xludf.DUMMYFUNCTION("IMPORTRANGE(""https://docs.google.com/spreadsheets/d/1IYY_tgx_IHuhSq3AJ5eI5OnqOPBNLWSHKh2a30DoXe8/edit?usp=sharing"",""ภูเก็ต!I426"")"),0)</f>
        <v>0</v>
      </c>
      <c r="J531" s="204">
        <f ca="1">IFERROR(__xludf.DUMMYFUNCTION("IMPORTRANGE(""https://docs.google.com/spreadsheets/d/1IYY_tgx_IHuhSq3AJ5eI5OnqOPBNLWSHKh2a30DoXe8/edit?usp=sharing"",""ภูเก็ต!J426"")"),0)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IFERROR(__xludf.DUMMYFUNCTION("IMPORTRANGE(""https://docs.google.com/spreadsheets/d/1IYY_tgx_IHuhSq3AJ5eI5OnqOPBNLWSHKh2a30DoXe8/edit?usp=sharing"",""ภูเก็ต!L428"")"),26700)</f>
        <v>26700</v>
      </c>
      <c r="M533" s="418"/>
      <c r="N533" s="418">
        <f ca="1">IFERROR(__xludf.DUMMYFUNCTION("IMPORTRANGE(""https://docs.google.com/spreadsheets/d/1IYY_tgx_IHuhSq3AJ5eI5OnqOPBNLWSHKh2a30DoXe8/edit?usp=sharing"",""ภูเก็ต!M428"")"),11100)</f>
        <v>11100</v>
      </c>
      <c r="O533" s="418">
        <f t="shared" ref="O533:O537" ca="1" si="118">+IF(L533&gt;0,N533*100/L533,0)</f>
        <v>41.573033707865171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IFERROR(__xludf.DUMMYFUNCTION("IMPORTRANGE(""https://docs.google.com/spreadsheets/d/1IYY_tgx_IHuhSq3AJ5eI5OnqOPBNLWSHKh2a30DoXe8/edit?usp=sharing"",""ภูเก็ต!L429"")"),0)</f>
        <v>0</v>
      </c>
      <c r="M534" s="168"/>
      <c r="N534" s="175">
        <f ca="1">IFERROR(__xludf.DUMMYFUNCTION("IMPORTRANGE(""https://docs.google.com/spreadsheets/d/1IYY_tgx_IHuhSq3AJ5eI5OnqOPBNLWSHKh2a30DoXe8/edit?usp=sharing"",""ภูเก็ต!M429"")"),0)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IFERROR(__xludf.DUMMYFUNCTION("IMPORTRANGE(""https://docs.google.com/spreadsheets/d/1IYY_tgx_IHuhSq3AJ5eI5OnqOPBNLWSHKh2a30DoXe8/edit?usp=sharing"",""ภูเก็ต!L430"")"),26700)</f>
        <v>26700</v>
      </c>
      <c r="M535" s="169"/>
      <c r="N535" s="175">
        <f ca="1">IFERROR(__xludf.DUMMYFUNCTION("IMPORTRANGE(""https://docs.google.com/spreadsheets/d/1IYY_tgx_IHuhSq3AJ5eI5OnqOPBNLWSHKh2a30DoXe8/edit?usp=sharing"",""ภูเก็ต!M430"")"),11100)</f>
        <v>11100</v>
      </c>
      <c r="O535" s="175">
        <f t="shared" ca="1" si="118"/>
        <v>41.573033707865171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IFERROR(__xludf.DUMMYFUNCTION("IMPORTRANGE(""https://docs.google.com/spreadsheets/d/1IYY_tgx_IHuhSq3AJ5eI5OnqOPBNLWSHKh2a30DoXe8/edit?usp=sharing"",""ภูเก็ต!L431"")"),0)</f>
        <v>0</v>
      </c>
      <c r="M536" s="175"/>
      <c r="N536" s="175">
        <f ca="1">IFERROR(__xludf.DUMMYFUNCTION("IMPORTRANGE(""https://docs.google.com/spreadsheets/d/1IYY_tgx_IHuhSq3AJ5eI5OnqOPBNLWSHKh2a30DoXe8/edit?usp=sharing"",""ภูเก็ต!M431"")"),0)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IFERROR(__xludf.DUMMYFUNCTION("IMPORTRANGE(""https://docs.google.com/spreadsheets/d/1IYY_tgx_IHuhSq3AJ5eI5OnqOPBNLWSHKh2a30DoXe8/edit?usp=sharing"",""ภูเก็ต!L432"")"),26700)</f>
        <v>26700</v>
      </c>
      <c r="M537" s="175"/>
      <c r="N537" s="175">
        <f ca="1">IFERROR(__xludf.DUMMYFUNCTION("IMPORTRANGE(""https://docs.google.com/spreadsheets/d/1IYY_tgx_IHuhSq3AJ5eI5OnqOPBNLWSHKh2a30DoXe8/edit?usp=sharing"",""ภูเก็ต!M432"")"),11100)</f>
        <v>11100</v>
      </c>
      <c r="O537" s="175">
        <f t="shared" ca="1" si="118"/>
        <v>41.573033707865171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IFERROR(__xludf.DUMMYFUNCTION("IMPORTRANGE(""https://docs.google.com/spreadsheets/d/1IYY_tgx_IHuhSq3AJ5eI5OnqOPBNLWSHKh2a30DoXe8/edit?usp=sharing"",""ภูเก็ต!M433"")"),11100)</f>
        <v>11100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IFERROR(__xludf.DUMMYFUNCTION("IMPORTRANGE(""https://docs.google.com/spreadsheets/d/1IYY_tgx_IHuhSq3AJ5eI5OnqOPBNLWSHKh2a30DoXe8/edit?usp=sharing"",""ภูเก็ต!M436"")"),0)</f>
        <v>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IFERROR(__xludf.DUMMYFUNCTION("IMPORTRANGE(""https://docs.google.com/spreadsheets/d/1IYY_tgx_IHuhSq3AJ5eI5OnqOPBNLWSHKh2a30DoXe8/edit?usp=sharing"",""ภูเก็ต!J438"")"),0)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IFERROR(__xludf.DUMMYFUNCTION("IMPORTRANGE(""https://docs.google.com/spreadsheets/d/1IYY_tgx_IHuhSq3AJ5eI5OnqOPBNLWSHKh2a30DoXe8/edit?usp=sharing"",""ภูเก็ต!J439"")"),1)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IFERROR(__xludf.DUMMYFUNCTION("IMPORTRANGE(""https://docs.google.com/spreadsheets/d/1IYY_tgx_IHuhSq3AJ5eI5OnqOPBNLWSHKh2a30DoXe8/edit?usp=sharing"",""ภูเก็ต!J440"")"),1)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IFERROR(__xludf.DUMMYFUNCTION("IMPORTRANGE(""https://docs.google.com/spreadsheets/d/1IYY_tgx_IHuhSq3AJ5eI5OnqOPBNLWSHKh2a30DoXe8/edit?usp=sharing"",""ภูเก็ต!J441"")"),1)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IFERROR(__xludf.DUMMYFUNCTION("IMPORTRANGE(""https://docs.google.com/spreadsheets/d/1IYY_tgx_IHuhSq3AJ5eI5OnqOPBNLWSHKh2a30DoXe8/edit?usp=sharing"",""ภูเก็ต!I442"")"),13)</f>
        <v>13</v>
      </c>
      <c r="J547" s="195">
        <f ca="1">IFERROR(__xludf.DUMMYFUNCTION("IMPORTRANGE(""https://docs.google.com/spreadsheets/d/1IYY_tgx_IHuhSq3AJ5eI5OnqOPBNLWSHKh2a30DoXe8/edit?usp=sharing"",""ภูเก็ต!J442"")"),13)</f>
        <v>13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IFERROR(__xludf.DUMMYFUNCTION("IMPORTRANGE(""https://docs.google.com/spreadsheets/d/1IYY_tgx_IHuhSq3AJ5eI5OnqOPBNLWSHKh2a30DoXe8/edit?usp=sharing"",""ภูเก็ต!J166"")"),0)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IFERROR(__xludf.DUMMYFUNCTION("IMPORTRANGE(""https://docs.google.com/spreadsheets/d/1IYY_tgx_IHuhSq3AJ5eI5OnqOPBNLWSHKh2a30DoXe8/edit?usp=sharing"",""ภูเก็ต!J444"")"),0)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IFERROR(__xludf.DUMMYFUNCTION("IMPORTRANGE(""https://docs.google.com/spreadsheets/d/1IYY_tgx_IHuhSq3AJ5eI5OnqOPBNLWSHKh2a30DoXe8/edit?usp=sharing"",""ภูเก็ต!L447"")"),0)</f>
        <v>0</v>
      </c>
      <c r="M552" s="168"/>
      <c r="N552" s="175">
        <f ca="1">IFERROR(__xludf.DUMMYFUNCTION("IMPORTRANGE(""https://docs.google.com/spreadsheets/d/1IYY_tgx_IHuhSq3AJ5eI5OnqOPBNLWSHKh2a30DoXe8/edit?usp=sharing"",""ภูเก็ต!M447"")"),0)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5">
        <f ca="1">IFERROR(__xludf.DUMMYFUNCTION("IMPORTRANGE(""https://docs.google.com/spreadsheets/d/1IYY_tgx_IHuhSq3AJ5eI5OnqOPBNLWSHKh2a30DoXe8/edit?usp=sharing"",""ภูเก็ต!M448"")"),0)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IFERROR(__xludf.DUMMYFUNCTION("IMPORTRANGE(""https://docs.google.com/spreadsheets/d/1IYY_tgx_IHuhSq3AJ5eI5OnqOPBNLWSHKh2a30DoXe8/edit?usp=sharing"",""ภูเก็ต!L449"")"),0)</f>
        <v>0</v>
      </c>
      <c r="M554" s="175"/>
      <c r="N554" s="175">
        <f ca="1">IFERROR(__xludf.DUMMYFUNCTION("IMPORTRANGE(""https://docs.google.com/spreadsheets/d/1IYY_tgx_IHuhSq3AJ5eI5OnqOPBNLWSHKh2a30DoXe8/edit?usp=sharing"",""ภูเก็ต!M449"")"),0)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IFERROR(__xludf.DUMMYFUNCTION("IMPORTRANGE(""https://docs.google.com/spreadsheets/d/1IYY_tgx_IHuhSq3AJ5eI5OnqOPBNLWSHKh2a30DoXe8/edit?usp=sharing"",""ภูเก็ต!L450"")"),0)</f>
        <v>0</v>
      </c>
      <c r="M555" s="175"/>
      <c r="N555" s="175">
        <f ca="1">IFERROR(__xludf.DUMMYFUNCTION("IMPORTRANGE(""https://docs.google.com/spreadsheets/d/1IYY_tgx_IHuhSq3AJ5eI5OnqOPBNLWSHKh2a30DoXe8/edit?usp=sharing"",""ภูเก็ต!M450"")"),0)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IFERROR(__xludf.DUMMYFUNCTION("IMPORTRANGE(""https://docs.google.com/spreadsheets/d/1IYY_tgx_IHuhSq3AJ5eI5OnqOPBNLWSHKh2a30DoXe8/edit?usp=sharing"",""ภูเก็ต!M451"")"),0)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IFERROR(__xludf.DUMMYFUNCTION("IMPORTRANGE(""https://docs.google.com/spreadsheets/d/1IYY_tgx_IHuhSq3AJ5eI5OnqOPBNLWSHKh2a30DoXe8/edit?usp=sharing"",""ภูเก็ต!M452"")"),0)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IFERROR(__xludf.DUMMYFUNCTION("IMPORTRANGE(""https://docs.google.com/spreadsheets/d/1IYY_tgx_IHuhSq3AJ5eI5OnqOPBNLWSHKh2a30DoXe8/edit?usp=sharing"",""ภูเก็ต!M453"")"),0)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IFERROR(__xludf.DUMMYFUNCTION("IMPORTRANGE(""https://docs.google.com/spreadsheets/d/1IYY_tgx_IHuhSq3AJ5eI5OnqOPBNLWSHKh2a30DoXe8/edit?usp=sharing"",""ภูเก็ต!M454"")"),0)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IFERROR(__xludf.DUMMYFUNCTION("IMPORTRANGE(""https://docs.google.com/spreadsheets/d/1IYY_tgx_IHuhSq3AJ5eI5OnqOPBNLWSHKh2a30DoXe8/edit?usp=sharing"",""ภูเก็ต!I455"")"),0)</f>
        <v>0</v>
      </c>
      <c r="J560" s="166">
        <f ca="1">IFERROR(__xludf.DUMMYFUNCTION("IMPORTRANGE(""https://docs.google.com/spreadsheets/d/1IYY_tgx_IHuhSq3AJ5eI5OnqOPBNLWSHKh2a30DoXe8/edit?usp=sharing"",""ภูเก็ต!J455"")"),0)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IFERROR(__xludf.DUMMYFUNCTION("IMPORTRANGE(""https://docs.google.com/spreadsheets/d/1IYY_tgx_IHuhSq3AJ5eI5OnqOPBNLWSHKh2a30DoXe8/edit?usp=sharing"",""ภูเก็ต!I456"")"),0)</f>
        <v>0</v>
      </c>
      <c r="J561" s="210">
        <f ca="1">IFERROR(__xludf.DUMMYFUNCTION("IMPORTRANGE(""https://docs.google.com/spreadsheets/d/1IYY_tgx_IHuhSq3AJ5eI5OnqOPBNLWSHKh2a30DoXe8/edit?usp=sharing"",""ภูเก็ต!J456"")"),0)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IFERROR(__xludf.DUMMYFUNCTION("IMPORTRANGE(""https://docs.google.com/spreadsheets/d/1IYY_tgx_IHuhSq3AJ5eI5OnqOPBNLWSHKh2a30DoXe8/edit?usp=sharing"",""ภูเก็ต!J459"")"),180)</f>
        <v>180</v>
      </c>
      <c r="K564" s="378">
        <f ca="1">IF(I564&gt;0,J564*100/I564,0)</f>
        <v>360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IFERROR(__xludf.DUMMYFUNCTION("IMPORTRANGE(""https://docs.google.com/spreadsheets/d/1IYY_tgx_IHuhSq3AJ5eI5OnqOPBNLWSHKh2a30DoXe8/edit?usp=sharing"",""ภูเก็ต!M459"")"),63400)</f>
        <v>63400</v>
      </c>
      <c r="O564" s="379">
        <f t="shared" ref="O564:O568" ca="1" si="122">+IF(L564&gt;0,N564*100/L564,0)</f>
        <v>52.868579052701804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IFERROR(__xludf.DUMMYFUNCTION("IMPORTRANGE(""https://docs.google.com/spreadsheets/d/1IYY_tgx_IHuhSq3AJ5eI5OnqOPBNLWSHKh2a30DoXe8/edit?usp=sharing"",""ภูเก็ต!L460"")"),0)</f>
        <v>0</v>
      </c>
      <c r="M565" s="168"/>
      <c r="N565" s="175">
        <f ca="1">IFERROR(__xludf.DUMMYFUNCTION("IMPORTRANGE(""https://docs.google.com/spreadsheets/d/1IYY_tgx_IHuhSq3AJ5eI5OnqOPBNLWSHKh2a30DoXe8/edit?usp=sharing"",""ภูเก็ต!M460"")"),0)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5">
        <f ca="1">IFERROR(__xludf.DUMMYFUNCTION("IMPORTRANGE(""https://docs.google.com/spreadsheets/d/1IYY_tgx_IHuhSq3AJ5eI5OnqOPBNLWSHKh2a30DoXe8/edit?usp=sharing"",""ภูเก็ต!M461"")"),63400)</f>
        <v>63400</v>
      </c>
      <c r="O566" s="175">
        <f t="shared" ca="1" si="122"/>
        <v>52.868579052701804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IFERROR(__xludf.DUMMYFUNCTION("IMPORTRANGE(""https://docs.google.com/spreadsheets/d/1IYY_tgx_IHuhSq3AJ5eI5OnqOPBNLWSHKh2a30DoXe8/edit?usp=sharing"",""ภูเก็ต!L462"")"),0)</f>
        <v>0</v>
      </c>
      <c r="M567" s="175"/>
      <c r="N567" s="175">
        <f ca="1">IFERROR(__xludf.DUMMYFUNCTION("IMPORTRANGE(""https://docs.google.com/spreadsheets/d/1IYY_tgx_IHuhSq3AJ5eI5OnqOPBNLWSHKh2a30DoXe8/edit?usp=sharing"",""ภูเก็ต!M462"")"),0)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IFERROR(__xludf.DUMMYFUNCTION("IMPORTRANGE(""https://docs.google.com/spreadsheets/d/1IYY_tgx_IHuhSq3AJ5eI5OnqOPBNLWSHKh2a30DoXe8/edit?usp=sharing"",""ภูเก็ต!L463"")"),119920)</f>
        <v>119920</v>
      </c>
      <c r="M568" s="175"/>
      <c r="N568" s="175">
        <f ca="1">IFERROR(__xludf.DUMMYFUNCTION("IMPORTRANGE(""https://docs.google.com/spreadsheets/d/1IYY_tgx_IHuhSq3AJ5eI5OnqOPBNLWSHKh2a30DoXe8/edit?usp=sharing"",""ภูเก็ต!M463"")"),63400)</f>
        <v>63400</v>
      </c>
      <c r="O568" s="175">
        <f t="shared" ca="1" si="122"/>
        <v>52.868579052701804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IFERROR(__xludf.DUMMYFUNCTION("IMPORTRANGE(""https://docs.google.com/spreadsheets/d/1IYY_tgx_IHuhSq3AJ5eI5OnqOPBNLWSHKh2a30DoXe8/edit?usp=sharing"",""ภูเก็ต!M464"")"),0)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IFERROR(__xludf.DUMMYFUNCTION("IMPORTRANGE(""https://docs.google.com/spreadsheets/d/1IYY_tgx_IHuhSq3AJ5eI5OnqOPBNLWSHKh2a30DoXe8/edit?usp=sharing"",""ภูเก็ต!M465"")"),0)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IFERROR(__xludf.DUMMYFUNCTION("IMPORTRANGE(""https://docs.google.com/spreadsheets/d/1IYY_tgx_IHuhSq3AJ5eI5OnqOPBNLWSHKh2a30DoXe8/edit?usp=sharing"",""ภูเก็ต!M466"")"),62700)</f>
        <v>62700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IFERROR(__xludf.DUMMYFUNCTION("IMPORTRANGE(""https://docs.google.com/spreadsheets/d/1IYY_tgx_IHuhSq3AJ5eI5OnqOPBNLWSHKh2a30DoXe8/edit?usp=sharing"",""ภูเก็ต!M467"")"),700)</f>
        <v>700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IFERROR(__xludf.DUMMYFUNCTION("IMPORTRANGE(""https://docs.google.com/spreadsheets/d/1IYY_tgx_IHuhSq3AJ5eI5OnqOPBNLWSHKh2a30DoXe8/edit?usp=sharing"",""ภูเก็ต!J468"")"),180)</f>
        <v>180</v>
      </c>
      <c r="K573" s="208">
        <f ca="1">IF(I573&gt;0,J573*100/I573,0)</f>
        <v>360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IFERROR(__xludf.DUMMYFUNCTION("IMPORTRANGE(""https://docs.google.com/spreadsheets/d/1IYY_tgx_IHuhSq3AJ5eI5OnqOPBNLWSHKh2a30DoXe8/edit?usp=sharing"",""ภูเก็ต!I470"")"),0)</f>
        <v>0</v>
      </c>
      <c r="J575" s="204">
        <f ca="1">IFERROR(__xludf.DUMMYFUNCTION("IMPORTRANGE(""https://docs.google.com/spreadsheets/d/1IYY_tgx_IHuhSq3AJ5eI5OnqOPBNLWSHKh2a30DoXe8/edit?usp=sharing"",""ภูเก็ต!J470"")"),3)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IFERROR(__xludf.DUMMYFUNCTION("IMPORTRANGE(""https://docs.google.com/spreadsheets/d/1IYY_tgx_IHuhSq3AJ5eI5OnqOPBNLWSHKh2a30DoXe8/edit?usp=sharing"",""ภูเก็ต!I471"")"),0)</f>
        <v>0</v>
      </c>
      <c r="J576" s="204">
        <f ca="1">IFERROR(__xludf.DUMMYFUNCTION("IMPORTRANGE(""https://docs.google.com/spreadsheets/d/1IYY_tgx_IHuhSq3AJ5eI5OnqOPBNLWSHKh2a30DoXe8/edit?usp=sharing"",""ภูเก็ต!J471"")"),19)</f>
        <v>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IFERROR(__xludf.DUMMYFUNCTION("IMPORTRANGE(""https://docs.google.com/spreadsheets/d/1IYY_tgx_IHuhSq3AJ5eI5OnqOPBNLWSHKh2a30DoXe8/edit?usp=sharing"",""ภูเก็ต!I472"")"),0)</f>
        <v>0</v>
      </c>
      <c r="J577" s="195">
        <f ca="1">IFERROR(__xludf.DUMMYFUNCTION("IMPORTRANGE(""https://docs.google.com/spreadsheets/d/1IYY_tgx_IHuhSq3AJ5eI5OnqOPBNLWSHKh2a30DoXe8/edit?usp=sharing"",""ภูเก็ต!J472"")"),161)</f>
        <v>161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IFERROR(__xludf.DUMMYFUNCTION("IMPORTRANGE(""https://docs.google.com/spreadsheets/d/1IYY_tgx_IHuhSq3AJ5eI5OnqOPBNLWSHKh2a30DoXe8/edit?usp=sharing"",""ภูเก็ต!I473"")"),0)</f>
        <v>0</v>
      </c>
      <c r="J578" s="204">
        <f ca="1">IFERROR(__xludf.DUMMYFUNCTION("IMPORTRANGE(""https://docs.google.com/spreadsheets/d/1IYY_tgx_IHuhSq3AJ5eI5OnqOPBNLWSHKh2a30DoXe8/edit?usp=sharing"",""ภูเก็ต!J473"")"),0)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IFERROR(__xludf.DUMMYFUNCTION("IMPORTRANGE(""https://docs.google.com/spreadsheets/d/1IYY_tgx_IHuhSq3AJ5eI5OnqOPBNLWSHKh2a30DoXe8/edit?usp=sharing"",""ภูเก็ต!I474"")"),0)</f>
        <v>0</v>
      </c>
      <c r="J579" s="204">
        <f ca="1">IFERROR(__xludf.DUMMYFUNCTION("IMPORTRANGE(""https://docs.google.com/spreadsheets/d/1IYY_tgx_IHuhSq3AJ5eI5OnqOPBNLWSHKh2a30DoXe8/edit?usp=sharing"",""ภูเก็ต!J474"")"),0)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IFERROR(__xludf.DUMMYFUNCTION("IMPORTRANGE(""https://docs.google.com/spreadsheets/d/1IYY_tgx_IHuhSq3AJ5eI5OnqOPBNLWSHKh2a30DoXe8/edit?usp=sharing"",""ภูเก็ต!L476"")"),0)</f>
        <v>0</v>
      </c>
      <c r="M581" s="168"/>
      <c r="N581" s="175">
        <f ca="1">IFERROR(__xludf.DUMMYFUNCTION("IMPORTRANGE(""https://docs.google.com/spreadsheets/d/1IYY_tgx_IHuhSq3AJ5eI5OnqOPBNLWSHKh2a30DoXe8/edit?usp=sharing"",""ภูเก็ต!M476"")"),0)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5">
        <f ca="1">IFERROR(__xludf.DUMMYFUNCTION("IMPORTRANGE(""https://docs.google.com/spreadsheets/d/1IYY_tgx_IHuhSq3AJ5eI5OnqOPBNLWSHKh2a30DoXe8/edit?usp=sharing"",""ภูเก็ต!M477"")"),0)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IFERROR(__xludf.DUMMYFUNCTION("IMPORTRANGE(""https://docs.google.com/spreadsheets/d/1IYY_tgx_IHuhSq3AJ5eI5OnqOPBNLWSHKh2a30DoXe8/edit?usp=sharing"",""ภูเก็ต!L478"")"),0)</f>
        <v>0</v>
      </c>
      <c r="M583" s="175"/>
      <c r="N583" s="175">
        <f ca="1">IFERROR(__xludf.DUMMYFUNCTION("IMPORTRANGE(""https://docs.google.com/spreadsheets/d/1IYY_tgx_IHuhSq3AJ5eI5OnqOPBNLWSHKh2a30DoXe8/edit?usp=sharing"",""ภูเก็ต!M478"")"),0)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IFERROR(__xludf.DUMMYFUNCTION("IMPORTRANGE(""https://docs.google.com/spreadsheets/d/1IYY_tgx_IHuhSq3AJ5eI5OnqOPBNLWSHKh2a30DoXe8/edit?usp=sharing"",""ภูเก็ต!L479"")"),0)</f>
        <v>0</v>
      </c>
      <c r="M584" s="175"/>
      <c r="N584" s="175">
        <f ca="1">IFERROR(__xludf.DUMMYFUNCTION("IMPORTRANGE(""https://docs.google.com/spreadsheets/d/1IYY_tgx_IHuhSq3AJ5eI5OnqOPBNLWSHKh2a30DoXe8/edit?usp=sharing"",""ภูเก็ต!M479"")"),0)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IFERROR(__xludf.DUMMYFUNCTION("IMPORTRANGE(""https://docs.google.com/spreadsheets/d/1IYY_tgx_IHuhSq3AJ5eI5OnqOPBNLWSHKh2a30DoXe8/edit?usp=sharing"",""ภูเก็ต!M480"")"),0)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IFERROR(__xludf.DUMMYFUNCTION("IMPORTRANGE(""https://docs.google.com/spreadsheets/d/1IYY_tgx_IHuhSq3AJ5eI5OnqOPBNLWSHKh2a30DoXe8/edit?usp=sharing"",""ภูเก็ต!M481"")"),0)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IFERROR(__xludf.DUMMYFUNCTION("IMPORTRANGE(""https://docs.google.com/spreadsheets/d/1IYY_tgx_IHuhSq3AJ5eI5OnqOPBNLWSHKh2a30DoXe8/edit?usp=sharing"",""ภูเก็ต!M482"")"),0)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IFERROR(__xludf.DUMMYFUNCTION("IMPORTRANGE(""https://docs.google.com/spreadsheets/d/1IYY_tgx_IHuhSq3AJ5eI5OnqOPBNLWSHKh2a30DoXe8/edit?usp=sharing"",""ภูเก็ต!M483"")"),0)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4">
        <f ca="1">IFERROR(__xludf.DUMMYFUNCTION("IMPORTRANGE(""https://docs.google.com/spreadsheets/d/1IYY_tgx_IHuhSq3AJ5eI5OnqOPBNLWSHKh2a30DoXe8/edit?usp=sharing"",""ภูเก็ต!J484"")"),0)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4">
        <f ca="1">IFERROR(__xludf.DUMMYFUNCTION("IMPORTRANGE(""https://docs.google.com/spreadsheets/d/1IYY_tgx_IHuhSq3AJ5eI5OnqOPBNLWSHKh2a30DoXe8/edit?usp=sharing"",""ภูเก็ต!J485"")"),0)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4">
        <f ca="1">IFERROR(__xludf.DUMMYFUNCTION("IMPORTRANGE(""https://docs.google.com/spreadsheets/d/1IYY_tgx_IHuhSq3AJ5eI5OnqOPBNLWSHKh2a30DoXe8/edit?usp=sharing"",""ภูเก็ต!J486"")"),0)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4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4">
        <f ca="1">IFERROR(__xludf.DUMMYFUNCTION("IMPORTRANGE(""https://docs.google.com/spreadsheets/d/1IYY_tgx_IHuhSq3AJ5eI5OnqOPBNLWSHKh2a30DoXe8/edit?usp=sharing"",""ภูเก็ต!J488"")"),0)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4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4">
        <f ca="1">IFERROR(__xludf.DUMMYFUNCTION("IMPORTRANGE(""https://docs.google.com/spreadsheets/d/1IYY_tgx_IHuhSq3AJ5eI5OnqOPBNLWSHKh2a30DoXe8/edit?usp=sharing"",""ภูเก็ต!J490"")"),0)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IFERROR(__xludf.DUMMYFUNCTION("IMPORTRANGE(""https://docs.google.com/spreadsheets/d/1IYY_tgx_IHuhSq3AJ5eI5OnqOPBNLWSHKh2a30DoXe8/edit?usp=sharing"",""ภูเก็ต!I491"")"),0)</f>
        <v>0</v>
      </c>
      <c r="J596" s="247">
        <f ca="1">IFERROR(__xludf.DUMMYFUNCTION("IMPORTRANGE(""https://docs.google.com/spreadsheets/d/1IYY_tgx_IHuhSq3AJ5eI5OnqOPBNLWSHKh2a30DoXe8/edit?usp=sharing"",""ภูเก็ต!J491"")"),0)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4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IFERROR(__xludf.DUMMYFUNCTION("IMPORTRANGE(""https://docs.google.com/spreadsheets/d/1IYY_tgx_IHuhSq3AJ5eI5OnqOPBNLWSHKh2a30DoXe8/edit?usp=sharing"",""ภูเก็ต!L492"")"),7300)</f>
        <v>7300</v>
      </c>
      <c r="M597" s="418"/>
      <c r="N597" s="418">
        <f ca="1">IFERROR(__xludf.DUMMYFUNCTION("IMPORTRANGE(""https://docs.google.com/spreadsheets/d/1IYY_tgx_IHuhSq3AJ5eI5OnqOPBNLWSHKh2a30DoXe8/edit?usp=sharing"",""ภูเก็ต!M492"")"),400)</f>
        <v>400</v>
      </c>
      <c r="O597" s="418">
        <f t="shared" ref="O597:O601" ca="1" si="126">+IF(L597&gt;0,N597*100/L597,0)</f>
        <v>5.4794520547945202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IFERROR(__xludf.DUMMYFUNCTION("IMPORTRANGE(""https://docs.google.com/spreadsheets/d/1IYY_tgx_IHuhSq3AJ5eI5OnqOPBNLWSHKh2a30DoXe8/edit?usp=sharing"",""ภูเก็ต!L493"")"),0)</f>
        <v>0</v>
      </c>
      <c r="M598" s="168"/>
      <c r="N598" s="175">
        <f ca="1">IFERROR(__xludf.DUMMYFUNCTION("IMPORTRANGE(""https://docs.google.com/spreadsheets/d/1IYY_tgx_IHuhSq3AJ5eI5OnqOPBNLWSHKh2a30DoXe8/edit?usp=sharing"",""ภูเก็ต!M493"")"),0)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IFERROR(__xludf.DUMMYFUNCTION("IMPORTRANGE(""https://docs.google.com/spreadsheets/d/1IYY_tgx_IHuhSq3AJ5eI5OnqOPBNLWSHKh2a30DoXe8/edit?usp=sharing"",""ภูเก็ต!L494"")"),7300)</f>
        <v>7300</v>
      </c>
      <c r="M599" s="169"/>
      <c r="N599" s="175">
        <f ca="1">IFERROR(__xludf.DUMMYFUNCTION("IMPORTRANGE(""https://docs.google.com/spreadsheets/d/1IYY_tgx_IHuhSq3AJ5eI5OnqOPBNLWSHKh2a30DoXe8/edit?usp=sharing"",""ภูเก็ต!M494"")"),400)</f>
        <v>400</v>
      </c>
      <c r="O599" s="175">
        <f t="shared" ca="1" si="126"/>
        <v>5.4794520547945202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IFERROR(__xludf.DUMMYFUNCTION("IMPORTRANGE(""https://docs.google.com/spreadsheets/d/1IYY_tgx_IHuhSq3AJ5eI5OnqOPBNLWSHKh2a30DoXe8/edit?usp=sharing"",""ภูเก็ต!L495"")"),0)</f>
        <v>0</v>
      </c>
      <c r="M600" s="175"/>
      <c r="N600" s="175">
        <f ca="1">IFERROR(__xludf.DUMMYFUNCTION("IMPORTRANGE(""https://docs.google.com/spreadsheets/d/1IYY_tgx_IHuhSq3AJ5eI5OnqOPBNLWSHKh2a30DoXe8/edit?usp=sharing"",""ภูเก็ต!M495"")"),0)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IFERROR(__xludf.DUMMYFUNCTION("IMPORTRANGE(""https://docs.google.com/spreadsheets/d/1IYY_tgx_IHuhSq3AJ5eI5OnqOPBNLWSHKh2a30DoXe8/edit?usp=sharing"",""ภูเก็ต!L496"")"),7300)</f>
        <v>7300</v>
      </c>
      <c r="M601" s="175"/>
      <c r="N601" s="175">
        <f ca="1">IFERROR(__xludf.DUMMYFUNCTION("IMPORTRANGE(""https://docs.google.com/spreadsheets/d/1IYY_tgx_IHuhSq3AJ5eI5OnqOPBNLWSHKh2a30DoXe8/edit?usp=sharing"",""ภูเก็ต!M496"")"),400)</f>
        <v>400</v>
      </c>
      <c r="O601" s="175">
        <f t="shared" ca="1" si="126"/>
        <v>5.4794520547945202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IFERROR(__xludf.DUMMYFUNCTION("IMPORTRANGE(""https://docs.google.com/spreadsheets/d/1IYY_tgx_IHuhSq3AJ5eI5OnqOPBNLWSHKh2a30DoXe8/edit?usp=sharing"",""ภูเก็ต!M497"")"),0)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IFERROR(__xludf.DUMMYFUNCTION("IMPORTRANGE(""https://docs.google.com/spreadsheets/d/1IYY_tgx_IHuhSq3AJ5eI5OnqOPBNLWSHKh2a30DoXe8/edit?usp=sharing"",""ภูเก็ต!M498"")"),0)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IFERROR(__xludf.DUMMYFUNCTION("IMPORTRANGE(""https://docs.google.com/spreadsheets/d/1IYY_tgx_IHuhSq3AJ5eI5OnqOPBNLWSHKh2a30DoXe8/edit?usp=sharing"",""ภูเก็ต!M500"")"),400)</f>
        <v>400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IFERROR(__xludf.DUMMYFUNCTION("IMPORTRANGE(""https://docs.google.com/spreadsheets/d/1IYY_tgx_IHuhSq3AJ5eI5OnqOPBNLWSHKh2a30DoXe8/edit?usp=sharing"",""ภูเก็ต!J502"")"),0)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IFERROR(__xludf.DUMMYFUNCTION("IMPORTRANGE(""https://docs.google.com/spreadsheets/d/1IYY_tgx_IHuhSq3AJ5eI5OnqOPBNLWSHKh2a30DoXe8/edit?usp=sharing"",""ภูเก็ต!J503"")"),1)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IFERROR(__xludf.DUMMYFUNCTION("IMPORTRANGE(""https://docs.google.com/spreadsheets/d/1IYY_tgx_IHuhSq3AJ5eI5OnqOPBNLWSHKh2a30DoXe8/edit?usp=sharing"",""ภูเก็ต!J166"")"),0)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IFERROR(__xludf.DUMMYFUNCTION("IMPORTRANGE(""https://docs.google.com/spreadsheets/d/1IYY_tgx_IHuhSq3AJ5eI5OnqOPBNLWSHKh2a30DoXe8/edit?usp=sharing"",""ภูเก็ต!J166"")"),0)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IFERROR(__xludf.DUMMYFUNCTION("IMPORTRANGE(""https://docs.google.com/spreadsheets/d/1IYY_tgx_IHuhSq3AJ5eI5OnqOPBNLWSHKh2a30DoXe8/edit?usp=sharing"",""ภูเก็ต!I506"")"),100)</f>
        <v>100</v>
      </c>
      <c r="J611" s="166">
        <f ca="1">IFERROR(__xludf.DUMMYFUNCTION("IMPORTRANGE(""https://docs.google.com/spreadsheets/d/1IYY_tgx_IHuhSq3AJ5eI5OnqOPBNLWSHKh2a30DoXe8/edit?usp=sharing"",""ภูเก็ต!J506"")"),0)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IFERROR(__xludf.DUMMYFUNCTION("IMPORTRANGE(""https://docs.google.com/spreadsheets/d/1IYY_tgx_IHuhSq3AJ5eI5OnqOPBNLWSHKh2a30DoXe8/edit?usp=sharing"",""ภูเก็ต!I507"")"),0)</f>
        <v>0</v>
      </c>
      <c r="J612" s="204">
        <f ca="1">IFERROR(__xludf.DUMMYFUNCTION("IMPORTRANGE(""https://docs.google.com/spreadsheets/d/1IYY_tgx_IHuhSq3AJ5eI5OnqOPBNLWSHKh2a30DoXe8/edit?usp=sharing"",""ภูเก็ต!J507"")"),0)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IFERROR(__xludf.DUMMYFUNCTION("IMPORTRANGE(""https://docs.google.com/spreadsheets/d/1IYY_tgx_IHuhSq3AJ5eI5OnqOPBNLWSHKh2a30DoXe8/edit?usp=sharing"",""ภูเก็ต!I508"")"),0)</f>
        <v>0</v>
      </c>
      <c r="J613" s="204">
        <f ca="1">IFERROR(__xludf.DUMMYFUNCTION("IMPORTRANGE(""https://docs.google.com/spreadsheets/d/1IYY_tgx_IHuhSq3AJ5eI5OnqOPBNLWSHKh2a30DoXe8/edit?usp=sharing"",""ภูเก็ต!J508"")"),0)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IFERROR(__xludf.DUMMYFUNCTION("IMPORTRANGE(""https://docs.google.com/spreadsheets/d/1IYY_tgx_IHuhSq3AJ5eI5OnqOPBNLWSHKh2a30DoXe8/edit?usp=sharing"",""ภูเก็ต!I509"")"),0)</f>
        <v>0</v>
      </c>
      <c r="J614" s="204">
        <f ca="1">IFERROR(__xludf.DUMMYFUNCTION("IMPORTRANGE(""https://docs.google.com/spreadsheets/d/1IYY_tgx_IHuhSq3AJ5eI5OnqOPBNLWSHKh2a30DoXe8/edit?usp=sharing"",""ภูเก็ต!J509"")"),0)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IFERROR(__xludf.DUMMYFUNCTION("IMPORTRANGE(""https://docs.google.com/spreadsheets/d/1IYY_tgx_IHuhSq3AJ5eI5OnqOPBNLWSHKh2a30DoXe8/edit?usp=sharing"",""ภูเก็ต!I510"")"),0)</f>
        <v>0</v>
      </c>
      <c r="J615" s="204">
        <f ca="1">IFERROR(__xludf.DUMMYFUNCTION("IMPORTRANGE(""https://docs.google.com/spreadsheets/d/1IYY_tgx_IHuhSq3AJ5eI5OnqOPBNLWSHKh2a30DoXe8/edit?usp=sharing"",""ภูเก็ต!J510"")"),0)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IFERROR(__xludf.DUMMYFUNCTION("IMPORTRANGE(""https://docs.google.com/spreadsheets/d/1IYY_tgx_IHuhSq3AJ5eI5OnqOPBNLWSHKh2a30DoXe8/edit?usp=sharing"",""ภูเก็ต!I511"")"),0)</f>
        <v>0</v>
      </c>
      <c r="J616" s="204">
        <f ca="1">IFERROR(__xludf.DUMMYFUNCTION("IMPORTRANGE(""https://docs.google.com/spreadsheets/d/1IYY_tgx_IHuhSq3AJ5eI5OnqOPBNLWSHKh2a30DoXe8/edit?usp=sharing"",""ภูเก็ต!J511"")"),0)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IFERROR(__xludf.DUMMYFUNCTION("IMPORTRANGE(""https://docs.google.com/spreadsheets/d/1IYY_tgx_IHuhSq3AJ5eI5OnqOPBNLWSHKh2a30DoXe8/edit?usp=sharing"",""ภูเก็ต!I512"")"),0)</f>
        <v>0</v>
      </c>
      <c r="J617" s="194">
        <f ca="1">IFERROR(__xludf.DUMMYFUNCTION("IMPORTRANGE(""https://docs.google.com/spreadsheets/d/1IYY_tgx_IHuhSq3AJ5eI5OnqOPBNLWSHKh2a30DoXe8/edit?usp=sharing"",""ภูเก็ต!J512"")"),0)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IFERROR(__xludf.DUMMYFUNCTION("IMPORTRANGE(""https://docs.google.com/spreadsheets/d/1IYY_tgx_IHuhSq3AJ5eI5OnqOPBNLWSHKh2a30DoXe8/edit?usp=sharing"",""ภูเก็ต!I513"")"),0)</f>
        <v>0</v>
      </c>
      <c r="J618" s="195">
        <f ca="1">IFERROR(__xludf.DUMMYFUNCTION("IMPORTRANGE(""https://docs.google.com/spreadsheets/d/1IYY_tgx_IHuhSq3AJ5eI5OnqOPBNLWSHKh2a30DoXe8/edit?usp=sharing"",""ภูเก็ต!J513"")"),0)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IFERROR(__xludf.DUMMYFUNCTION("IMPORTRANGE(""https://docs.google.com/spreadsheets/d/1IYY_tgx_IHuhSq3AJ5eI5OnqOPBNLWSHKh2a30DoXe8/edit?usp=sharing"",""ภูเก็ต!I514"")"),0)</f>
        <v>0</v>
      </c>
      <c r="J619" s="195">
        <f ca="1">IFERROR(__xludf.DUMMYFUNCTION("IMPORTRANGE(""https://docs.google.com/spreadsheets/d/1IYY_tgx_IHuhSq3AJ5eI5OnqOPBNLWSHKh2a30DoXe8/edit?usp=sharing"",""ภูเก็ต!J514"")"),0)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IFERROR(__xludf.DUMMYFUNCTION("IMPORTRANGE(""https://docs.google.com/spreadsheets/d/1IYY_tgx_IHuhSq3AJ5eI5OnqOPBNLWSHKh2a30DoXe8/edit?usp=sharing"",""ภูเก็ต!I515"")"),0)</f>
        <v>0</v>
      </c>
      <c r="J620" s="209">
        <f ca="1">IFERROR(__xludf.DUMMYFUNCTION("IMPORTRANGE(""https://docs.google.com/spreadsheets/d/1IYY_tgx_IHuhSq3AJ5eI5OnqOPBNLWSHKh2a30DoXe8/edit?usp=sharing"",""ภูเก็ต!J515"")"),0)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IFERROR(__xludf.DUMMYFUNCTION("IMPORTRANGE(""https://docs.google.com/spreadsheets/d/1IYY_tgx_IHuhSq3AJ5eI5OnqOPBNLWSHKh2a30DoXe8/edit?usp=sharing"",""ภูเก็ต!I516"")"),0)</f>
        <v>0</v>
      </c>
      <c r="J621" s="209">
        <f ca="1">IFERROR(__xludf.DUMMYFUNCTION("IMPORTRANGE(""https://docs.google.com/spreadsheets/d/1IYY_tgx_IHuhSq3AJ5eI5OnqOPBNLWSHKh2a30DoXe8/edit?usp=sharing"",""ภูเก็ต!J516"")"),0)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IFERROR(__xludf.DUMMYFUNCTION("IMPORTRANGE(""https://docs.google.com/spreadsheets/d/1IYY_tgx_IHuhSq3AJ5eI5OnqOPBNLWSHKh2a30DoXe8/edit?usp=sharing"",""ภูเก็ต!I517"")"),0)</f>
        <v>0</v>
      </c>
      <c r="J622" s="195">
        <f ca="1">IFERROR(__xludf.DUMMYFUNCTION("IMPORTRANGE(""https://docs.google.com/spreadsheets/d/1IYY_tgx_IHuhSq3AJ5eI5OnqOPBNLWSHKh2a30DoXe8/edit?usp=sharing"",""ภูเก็ต!J517"")"),0)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IFERROR(__xludf.DUMMYFUNCTION("IMPORTRANGE(""https://docs.google.com/spreadsheets/d/1IYY_tgx_IHuhSq3AJ5eI5OnqOPBNLWSHKh2a30DoXe8/edit?usp=sharing"",""ภูเก็ต!I518"")"),0)</f>
        <v>0</v>
      </c>
      <c r="J623" s="195">
        <f ca="1">IFERROR(__xludf.DUMMYFUNCTION("IMPORTRANGE(""https://docs.google.com/spreadsheets/d/1IYY_tgx_IHuhSq3AJ5eI5OnqOPBNLWSHKh2a30DoXe8/edit?usp=sharing"",""ภูเก็ต!J518"")"),0)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IFERROR(__xludf.DUMMYFUNCTION("IMPORTRANGE(""https://docs.google.com/spreadsheets/d/1IYY_tgx_IHuhSq3AJ5eI5OnqOPBNLWSHKh2a30DoXe8/edit?usp=sharing"",""ภูเก็ต!I519"")"),0)</f>
        <v>0</v>
      </c>
      <c r="J624" s="194">
        <f ca="1">IFERROR(__xludf.DUMMYFUNCTION("IMPORTRANGE(""https://docs.google.com/spreadsheets/d/1IYY_tgx_IHuhSq3AJ5eI5OnqOPBNLWSHKh2a30DoXe8/edit?usp=sharing"",""ภูเก็ต!J519"")"),0)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IFERROR(__xludf.DUMMYFUNCTION("IMPORTRANGE(""https://docs.google.com/spreadsheets/d/1IYY_tgx_IHuhSq3AJ5eI5OnqOPBNLWSHKh2a30DoXe8/edit?usp=sharing"",""ภูเก็ต!I520"")"),0)</f>
        <v>0</v>
      </c>
      <c r="J625" s="195">
        <f ca="1">IFERROR(__xludf.DUMMYFUNCTION("IMPORTRANGE(""https://docs.google.com/spreadsheets/d/1IYY_tgx_IHuhSq3AJ5eI5OnqOPBNLWSHKh2a30DoXe8/edit?usp=sharing"",""ภูเก็ต!J520"")"),0)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IFERROR(__xludf.DUMMYFUNCTION("IMPORTRANGE(""https://docs.google.com/spreadsheets/d/1IYY_tgx_IHuhSq3AJ5eI5OnqOPBNLWSHKh2a30DoXe8/edit?usp=sharing"",""ภูเก็ต!I521"")"),0)</f>
        <v>0</v>
      </c>
      <c r="J626" s="195">
        <f ca="1">IFERROR(__xludf.DUMMYFUNCTION("IMPORTRANGE(""https://docs.google.com/spreadsheets/d/1IYY_tgx_IHuhSq3AJ5eI5OnqOPBNLWSHKh2a30DoXe8/edit?usp=sharing"",""ภูเก็ต!J521"")"),0)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IFERROR(__xludf.DUMMYFUNCTION("IMPORTRANGE(""https://docs.google.com/spreadsheets/d/1IYY_tgx_IHuhSq3AJ5eI5OnqOPBNLWSHKh2a30DoXe8/edit?usp=sharing"",""ภูเก็ต!I523"")"),617119.4)</f>
        <v>617119.4</v>
      </c>
      <c r="J628" s="347">
        <f ca="1">IFERROR(__xludf.DUMMYFUNCTION("IMPORTRANGE(""https://docs.google.com/spreadsheets/d/1IYY_tgx_IHuhSq3AJ5eI5OnqOPBNLWSHKh2a30DoXe8/edit?usp=sharing"",""ภูเก็ต!J523"")"),519697.63)</f>
        <v>519697.63</v>
      </c>
      <c r="K628" s="348">
        <f t="shared" ref="K628:K635" ca="1" si="129">IF(I628&gt;0,J628*100/I628,0)</f>
        <v>84.213465011795122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IFERROR(__xludf.DUMMYFUNCTION("IMPORTRANGE(""https://docs.google.com/spreadsheets/d/1IYY_tgx_IHuhSq3AJ5eI5OnqOPBNLWSHKh2a30DoXe8/edit?usp=sharing"",""ภูเก็ต!I524"")"),33)</f>
        <v>33</v>
      </c>
      <c r="J629" s="347">
        <f ca="1">IFERROR(__xludf.DUMMYFUNCTION("IMPORTRANGE(""https://docs.google.com/spreadsheets/d/1IYY_tgx_IHuhSq3AJ5eI5OnqOPBNLWSHKh2a30DoXe8/edit?usp=sharing"",""ภูเก็ต!J524"")"),28)</f>
        <v>28</v>
      </c>
      <c r="K629" s="348">
        <f t="shared" ca="1" si="129"/>
        <v>84.848484848484844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IFERROR(__xludf.DUMMYFUNCTION("IMPORTRANGE(""https://docs.google.com/spreadsheets/d/1IYY_tgx_IHuhSq3AJ5eI5OnqOPBNLWSHKh2a30DoXe8/edit?usp=sharing"",""ภูเก็ต!I529"")"),650000)</f>
        <v>650000</v>
      </c>
      <c r="J634" s="347">
        <f ca="1">IFERROR(__xludf.DUMMYFUNCTION("IMPORTRANGE(""https://docs.google.com/spreadsheets/d/1IYY_tgx_IHuhSq3AJ5eI5OnqOPBNLWSHKh2a30DoXe8/edit?usp=sharing"",""ภูเก็ต!J529"")"),0)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IFERROR(__xludf.DUMMYFUNCTION("IMPORTRANGE(""https://docs.google.com/spreadsheets/d/1IYY_tgx_IHuhSq3AJ5eI5OnqOPBNLWSHKh2a30DoXe8/edit?usp=sharing"",""ภูเก็ต!I530"")"),13)</f>
        <v>13</v>
      </c>
      <c r="J635" s="518">
        <f ca="1">IFERROR(__xludf.DUMMYFUNCTION("IMPORTRANGE(""https://docs.google.com/spreadsheets/d/1IYY_tgx_IHuhSq3AJ5eI5OnqOPBNLWSHKh2a30DoXe8/edit?usp=sharing"",""ภูเก็ต!J530"")"),0)</f>
        <v>0</v>
      </c>
      <c r="K635" s="493">
        <f t="shared" ca="1" si="129"/>
        <v>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IFERROR(__xludf.DUMMYFUNCTION("IMPORTRANGE(""https://docs.google.com/spreadsheets/d/1IYY_tgx_IHuhSq3AJ5eI5OnqOPBNLWSHKh2a30DoXe8/edit?usp=sharing"",""ภูเก็ต!J541"")"),0)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IFERROR(__xludf.DUMMYFUNCTION("IMPORTRANGE(""https://docs.google.com/spreadsheets/d/1IYY_tgx_IHuhSq3AJ5eI5OnqOPBNLWSHKh2a30DoXe8/edit?usp=sharing"",""ภูเก็ต!J542"")"),0)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IFERROR(__xludf.DUMMYFUNCTION("IMPORTRANGE(""https://docs.google.com/spreadsheets/d/1IYY_tgx_IHuhSq3AJ5eI5OnqOPBNLWSHKh2a30DoXe8/edit?usp=sharing"",""ภูเก็ต!I543"")"),0)</f>
        <v>0</v>
      </c>
      <c r="J648" s="547">
        <f ca="1">IFERROR(__xludf.DUMMYFUNCTION("IMPORTRANGE(""https://docs.google.com/spreadsheets/d/1IYY_tgx_IHuhSq3AJ5eI5OnqOPBNLWSHKh2a30DoXe8/edit?usp=sharing"",""ภูเก็ต!J543"")"),0)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IFERROR(__xludf.DUMMYFUNCTION("IMPORTRANGE(""https://docs.google.com/spreadsheets/d/1IYY_tgx_IHuhSq3AJ5eI5OnqOPBNLWSHKh2a30DoXe8/edit?usp=sharing"",""ภูเก็ต!L543"")"),0)</f>
        <v>0</v>
      </c>
      <c r="M648" s="534"/>
      <c r="N648" s="549">
        <f ca="1">IFERROR(__xludf.DUMMYFUNCTION("IMPORTRANGE(""https://docs.google.com/spreadsheets/d/1IYY_tgx_IHuhSq3AJ5eI5OnqOPBNLWSHKh2a30DoXe8/edit?usp=sharing"",""ภูเก็ต!M543"")"),0)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IFERROR(__xludf.DUMMYFUNCTION("IMPORTRANGE(""https://docs.google.com/spreadsheets/d/1IYY_tgx_IHuhSq3AJ5eI5OnqOPBNLWSHKh2a30DoXe8/edit?usp=sharing"",""ภูเก็ต!I544"")"),0)</f>
        <v>0</v>
      </c>
      <c r="J649" s="547">
        <f ca="1">IFERROR(__xludf.DUMMYFUNCTION("IMPORTRANGE(""https://docs.google.com/spreadsheets/d/1IYY_tgx_IHuhSq3AJ5eI5OnqOPBNLWSHKh2a30DoXe8/edit?usp=sharing"",""ภูเก็ต!J544"")"),0)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IFERROR(__xludf.DUMMYFUNCTION("IMPORTRANGE(""https://docs.google.com/spreadsheets/d/1IYY_tgx_IHuhSq3AJ5eI5OnqOPBNLWSHKh2a30DoXe8/edit?usp=sharing"",""ภูเก็ต!L544"")"),0)</f>
        <v>0</v>
      </c>
      <c r="M649" s="534"/>
      <c r="N649" s="549">
        <f ca="1">IFERROR(__xludf.DUMMYFUNCTION("IMPORTRANGE(""https://docs.google.com/spreadsheets/d/1IYY_tgx_IHuhSq3AJ5eI5OnqOPBNLWSHKh2a30DoXe8/edit?usp=sharing"",""ภูเก็ต!M544"")"),0)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IFERROR(__xludf.DUMMYFUNCTION("IMPORTRANGE(""https://docs.google.com/spreadsheets/d/1IYY_tgx_IHuhSq3AJ5eI5OnqOPBNLWSHKh2a30DoXe8/edit?usp=sharing"",""ภูเก็ต!I545"")"),0)</f>
        <v>0</v>
      </c>
      <c r="J650" s="547">
        <f ca="1">IFERROR(__xludf.DUMMYFUNCTION("IMPORTRANGE(""https://docs.google.com/spreadsheets/d/1IYY_tgx_IHuhSq3AJ5eI5OnqOPBNLWSHKh2a30DoXe8/edit?usp=sharing"",""ภูเก็ต!J545"")"),0)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IFERROR(__xludf.DUMMYFUNCTION("IMPORTRANGE(""https://docs.google.com/spreadsheets/d/1IYY_tgx_IHuhSq3AJ5eI5OnqOPBNLWSHKh2a30DoXe8/edit?usp=sharing"",""ภูเก็ต!L545"")"),0)</f>
        <v>0</v>
      </c>
      <c r="M650" s="534"/>
      <c r="N650" s="549">
        <f ca="1">IFERROR(__xludf.DUMMYFUNCTION("IMPORTRANGE(""https://docs.google.com/spreadsheets/d/1IYY_tgx_IHuhSq3AJ5eI5OnqOPBNLWSHKh2a30DoXe8/edit?usp=sharing"",""ภูเก็ต!M545"")"),0)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IFERROR(__xludf.DUMMYFUNCTION("IMPORTRANGE(""https://docs.google.com/spreadsheets/d/1IYY_tgx_IHuhSq3AJ5eI5OnqOPBNLWSHKh2a30DoXe8/edit?usp=sharing"",""ภูเก็ต!I546"")"),0)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IFERROR(__xludf.DUMMYFUNCTION("IMPORTRANGE(""https://docs.google.com/spreadsheets/d/1IYY_tgx_IHuhSq3AJ5eI5OnqOPBNLWSHKh2a30DoXe8/edit?usp=sharing"",""ภูเก็ต!L546"")"),0)</f>
        <v>0</v>
      </c>
      <c r="M651" s="534"/>
      <c r="N651" s="549">
        <f ca="1">IFERROR(__xludf.DUMMYFUNCTION("IMPORTRANGE(""https://docs.google.com/spreadsheets/d/1IYY_tgx_IHuhSq3AJ5eI5OnqOPBNLWSHKh2a30DoXe8/edit?usp=sharing"",""ภูเก็ต!M546"")"),0)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IFERROR(__xludf.DUMMYFUNCTION("IMPORTRANGE(""https://docs.google.com/spreadsheets/d/1IYY_tgx_IHuhSq3AJ5eI5OnqOPBNLWSHKh2a30DoXe8/edit?usp=sharing"",""ภูเก็ต!J547"")"),0)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IFERROR(__xludf.DUMMYFUNCTION("IMPORTRANGE(""https://docs.google.com/spreadsheets/d/1IYY_tgx_IHuhSq3AJ5eI5OnqOPBNLWSHKh2a30DoXe8/edit?usp=sharing"",""ภูเก็ต!J548"")"),0)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IFERROR(__xludf.DUMMYFUNCTION("IMPORTRANGE(""https://docs.google.com/spreadsheets/d/1IYY_tgx_IHuhSq3AJ5eI5OnqOPBNLWSHKh2a30DoXe8/edit?usp=sharing"",""ภูเก็ต!J550"")"),0)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IFERROR(__xludf.DUMMYFUNCTION("IMPORTRANGE(""https://docs.google.com/spreadsheets/d/1IYY_tgx_IHuhSq3AJ5eI5OnqOPBNLWSHKh2a30DoXe8/edit?usp=sharing"",""ภูเก็ต!J551"")"),0)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IFERROR(__xludf.DUMMYFUNCTION("IMPORTRANGE(""https://docs.google.com/spreadsheets/d/1IYY_tgx_IHuhSq3AJ5eI5OnqOPBNLWSHKh2a30DoXe8/edit?usp=sharing"",""ภูเก็ต!J552"")"),0)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IFERROR(__xludf.DUMMYFUNCTION("IMPORTRANGE(""https://docs.google.com/spreadsheets/d/1IYY_tgx_IHuhSq3AJ5eI5OnqOPBNLWSHKh2a30DoXe8/edit?usp=sharing"",""ภูเก็ต!J553"")"),0)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IFERROR(__xludf.DUMMYFUNCTION("IMPORTRANGE(""https://docs.google.com/spreadsheets/d/1IYY_tgx_IHuhSq3AJ5eI5OnqOPBNLWSHKh2a30DoXe8/edit?usp=sharing"",""ภูเก็ต!J554"")"),0)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IFERROR(__xludf.DUMMYFUNCTION("IMPORTRANGE(""https://docs.google.com/spreadsheets/d/1IYY_tgx_IHuhSq3AJ5eI5OnqOPBNLWSHKh2a30DoXe8/edit?usp=sharing"",""ภูเก็ต!J555"")"),0)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IFERROR(__xludf.DUMMYFUNCTION("IMPORTRANGE(""https://docs.google.com/spreadsheets/d/1IYY_tgx_IHuhSq3AJ5eI5OnqOPBNLWSHKh2a30DoXe8/edit?usp=sharing"",""ภูเก็ต!J556"")"),0)</f>
        <v>0</v>
      </c>
      <c r="K661" s="548"/>
      <c r="L661" s="535">
        <f ca="1">IFERROR(__xludf.DUMMYFUNCTION("IMPORTRANGE(""https://docs.google.com/spreadsheets/d/1IYY_tgx_IHuhSq3AJ5eI5OnqOPBNLWSHKh2a30DoXe8/edit?usp=sharing"",""ภูเก็ต!L556"")"),0)</f>
        <v>0</v>
      </c>
      <c r="M661" s="534"/>
      <c r="N661" s="549">
        <f ca="1">IFERROR(__xludf.DUMMYFUNCTION("IMPORTRANGE(""https://docs.google.com/spreadsheets/d/1IYY_tgx_IHuhSq3AJ5eI5OnqOPBNLWSHKh2a30DoXe8/edit?usp=sharing"",""ภูเก็ต!M556"")"),0)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IFERROR(__xludf.DUMMYFUNCTION("IMPORTRANGE(""https://docs.google.com/spreadsheets/d/1IYY_tgx_IHuhSq3AJ5eI5OnqOPBNLWSHKh2a30DoXe8/edit?usp=sharing"",""ภูเก็ต!J557"")"),0)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IFERROR(__xludf.DUMMYFUNCTION("IMPORTRANGE(""https://docs.google.com/spreadsheets/d/1IYY_tgx_IHuhSq3AJ5eI5OnqOPBNLWSHKh2a30DoXe8/edit?usp=sharing"",""ภูเก็ต!I558"")"),0)</f>
        <v>0</v>
      </c>
      <c r="J663" s="547">
        <f ca="1">IFERROR(__xludf.DUMMYFUNCTION("IMPORTRANGE(""https://docs.google.com/spreadsheets/d/1IYY_tgx_IHuhSq3AJ5eI5OnqOPBNLWSHKh2a30DoXe8/edit?usp=sharing"",""ภูเก็ต!J558"")"),0)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IFERROR(__xludf.DUMMYFUNCTION("IMPORTRANGE(""https://docs.google.com/spreadsheets/d/1IYY_tgx_IHuhSq3AJ5eI5OnqOPBNLWSHKh2a30DoXe8/edit?usp=sharing"",""ภูเก็ต!I560"")"),0)</f>
        <v>0</v>
      </c>
      <c r="J665" s="547">
        <f ca="1">IFERROR(__xludf.DUMMYFUNCTION("IMPORTRANGE(""https://docs.google.com/spreadsheets/d/1IYY_tgx_IHuhSq3AJ5eI5OnqOPBNLWSHKh2a30DoXe8/edit?usp=sharing"",""ภูเก็ต!J560"")"),0)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IFERROR(__xludf.DUMMYFUNCTION("IMPORTRANGE(""https://docs.google.com/spreadsheets/d/1IYY_tgx_IHuhSq3AJ5eI5OnqOPBNLWSHKh2a30DoXe8/edit?usp=sharing"",""ภูเก็ต!L560"")"),0)</f>
        <v>0</v>
      </c>
      <c r="M665" s="534"/>
      <c r="N665" s="549">
        <f ca="1">IFERROR(__xludf.DUMMYFUNCTION("IMPORTRANGE(""https://docs.google.com/spreadsheets/d/1IYY_tgx_IHuhSq3AJ5eI5OnqOPBNLWSHKh2a30DoXe8/edit?usp=sharing"",""ภูเก็ต!M560"")"),0)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IFERROR(__xludf.DUMMYFUNCTION("IMPORTRANGE(""https://docs.google.com/spreadsheets/d/1IYY_tgx_IHuhSq3AJ5eI5OnqOPBNLWSHKh2a30DoXe8/edit?usp=sharing"",""ภูเก็ต!J561"")"),0)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IFERROR(__xludf.DUMMYFUNCTION("IMPORTRANGE(""https://docs.google.com/spreadsheets/d/1IYY_tgx_IHuhSq3AJ5eI5OnqOPBNLWSHKh2a30DoXe8/edit?usp=sharing"",""ภูเก็ต!J562"")"),0)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IFERROR(__xludf.DUMMYFUNCTION("IMPORTRANGE(""https://docs.google.com/spreadsheets/d/1IYY_tgx_IHuhSq3AJ5eI5OnqOPBNLWSHKh2a30DoXe8/edit?usp=sharing"",""ภูเก็ต!I563"")"),0)</f>
        <v>0</v>
      </c>
      <c r="J668" s="547">
        <f ca="1">IFERROR(__xludf.DUMMYFUNCTION("IMPORTRANGE(""https://docs.google.com/spreadsheets/d/1IYY_tgx_IHuhSq3AJ5eI5OnqOPBNLWSHKh2a30DoXe8/edit?usp=sharing"",""ภูเก็ต!J563"")"),0)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IFERROR(__xludf.DUMMYFUNCTION("IMPORTRANGE(""https://docs.google.com/spreadsheets/d/1IYY_tgx_IHuhSq3AJ5eI5OnqOPBNLWSHKh2a30DoXe8/edit?usp=sharing"",""ภูเก็ต!L563"")"),0)</f>
        <v>0</v>
      </c>
      <c r="M668" s="534"/>
      <c r="N668" s="549">
        <f ca="1">IFERROR(__xludf.DUMMYFUNCTION("IMPORTRANGE(""https://docs.google.com/spreadsheets/d/1IYY_tgx_IHuhSq3AJ5eI5OnqOPBNLWSHKh2a30DoXe8/edit?usp=sharing"",""ภูเก็ต!M563"")"),0)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IFERROR(__xludf.DUMMYFUNCTION("IMPORTRANGE(""https://docs.google.com/spreadsheets/d/1IYY_tgx_IHuhSq3AJ5eI5OnqOPBNLWSHKh2a30DoXe8/edit?usp=sharing"",""ภูเก็ต!J564"")"),0)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IFERROR(__xludf.DUMMYFUNCTION("IMPORTRANGE(""https://docs.google.com/spreadsheets/d/1IYY_tgx_IHuhSq3AJ5eI5OnqOPBNLWSHKh2a30DoXe8/edit?usp=sharing"",""ภูเก็ต!J565"")"),0)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IFERROR(__xludf.DUMMYFUNCTION("IMPORTRANGE(""https://docs.google.com/spreadsheets/d/1IYY_tgx_IHuhSq3AJ5eI5OnqOPBNLWSHKh2a30DoXe8/edit?usp=sharing"",""ภูเก็ต!I566"")"),0)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IFERROR(__xludf.DUMMYFUNCTION("IMPORTRANGE(""https://docs.google.com/spreadsheets/d/1IYY_tgx_IHuhSq3AJ5eI5OnqOPBNLWSHKh2a30DoXe8/edit?usp=sharing"",""ภูเก็ต!L566"")"),0)</f>
        <v>0</v>
      </c>
      <c r="M671" s="534"/>
      <c r="N671" s="549">
        <f ca="1">IFERROR(__xludf.DUMMYFUNCTION("IMPORTRANGE(""https://docs.google.com/spreadsheets/d/1IYY_tgx_IHuhSq3AJ5eI5OnqOPBNLWSHKh2a30DoXe8/edit?usp=sharing"",""ภูเก็ต!M566"")"),0)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IFERROR(__xludf.DUMMYFUNCTION("IMPORTRANGE(""https://docs.google.com/spreadsheets/d/1IYY_tgx_IHuhSq3AJ5eI5OnqOPBNLWSHKh2a30DoXe8/edit?usp=sharing"",""ภูเก็ต!J567"")"),0)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IFERROR(__xludf.DUMMYFUNCTION("IMPORTRANGE(""https://docs.google.com/spreadsheets/d/1IYY_tgx_IHuhSq3AJ5eI5OnqOPBNLWSHKh2a30DoXe8/edit?usp=sharing"",""ภูเก็ต!J568"")"),0)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IFERROR(__xludf.DUMMYFUNCTION("IMPORTRANGE(""https://docs.google.com/spreadsheets/d/1IYY_tgx_IHuhSq3AJ5eI5OnqOPBNLWSHKh2a30DoXe8/edit?usp=sharing"",""ภูเก็ต!J569"")"),0)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IFERROR(__xludf.DUMMYFUNCTION("IMPORTRANGE(""https://docs.google.com/spreadsheets/d/1IYY_tgx_IHuhSq3AJ5eI5OnqOPBNLWSHKh2a30DoXe8/edit?usp=sharing"",""ภูเก็ต!J570"")"),0)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IFERROR(__xludf.DUMMYFUNCTION("IMPORTRANGE(""https://docs.google.com/spreadsheets/d/1IYY_tgx_IHuhSq3AJ5eI5OnqOPBNLWSHKh2a30DoXe8/edit?usp=sharing"",""ภูเก็ต!J571"")"),0)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IFERROR(__xludf.DUMMYFUNCTION("IMPORTRANGE(""https://docs.google.com/spreadsheets/d/1IYY_tgx_IHuhSq3AJ5eI5OnqOPBNLWSHKh2a30DoXe8/edit?usp=sharing"",""ภูเก็ต!J572"")"),0)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280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2470042</v>
      </c>
      <c r="M8" s="23">
        <f t="shared" ca="1" si="0"/>
        <v>1980215.28</v>
      </c>
      <c r="N8" s="23">
        <f t="shared" ca="1" si="0"/>
        <v>2077951.22</v>
      </c>
      <c r="O8" s="22">
        <f t="shared" ref="O8:O16" ca="1" si="1">IF(L8&gt;0,N8*100/L8,0)</f>
        <v>84.126149271955697</v>
      </c>
      <c r="P8" s="22">
        <f t="shared" ref="P8:P16" ca="1" si="2">IF(M8&gt;0,N8*100/M8,0)</f>
        <v>104.93562194914485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2470042</v>
      </c>
      <c r="M10" s="30">
        <f t="shared" ca="1" si="4"/>
        <v>1980215.28</v>
      </c>
      <c r="N10" s="30">
        <f t="shared" ca="1" si="4"/>
        <v>2077951.22</v>
      </c>
      <c r="O10" s="29">
        <f t="shared" ca="1" si="1"/>
        <v>84.126149271955697</v>
      </c>
      <c r="P10" s="29">
        <f t="shared" ca="1" si="2"/>
        <v>104.93562194914485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2275042</v>
      </c>
      <c r="M12" s="38">
        <f t="shared" ca="1" si="6"/>
        <v>1785215.28</v>
      </c>
      <c r="N12" s="38">
        <f t="shared" ca="1" si="6"/>
        <v>1882951.22</v>
      </c>
      <c r="O12" s="38">
        <f t="shared" ca="1" si="1"/>
        <v>82.76555861386295</v>
      </c>
      <c r="P12" s="38">
        <f t="shared" ca="1" si="2"/>
        <v>105.47474251956885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1360100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914942</v>
      </c>
      <c r="M14" s="38">
        <f t="shared" si="8"/>
        <v>0</v>
      </c>
      <c r="N14" s="38">
        <f t="shared" ca="1" si="8"/>
        <v>521867.95</v>
      </c>
      <c r="O14" s="41">
        <f t="shared" ca="1" si="1"/>
        <v>57.038364180461713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1859375</v>
      </c>
      <c r="M18" s="23">
        <f t="shared" ca="1" si="11"/>
        <v>1980215.28</v>
      </c>
      <c r="N18" s="23">
        <f t="shared" ca="1" si="11"/>
        <v>1556083.27</v>
      </c>
      <c r="O18" s="22">
        <f t="shared" ref="O18:O20" ca="1" si="12">IF(L18&gt;0,N18*100/L18,0)</f>
        <v>83.688512000000003</v>
      </c>
      <c r="P18" s="22">
        <f t="shared" ref="P18:P26" ca="1" si="13">IF(M18&gt;0,N18*100/M18,0)</f>
        <v>78.581520187037441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1859375</v>
      </c>
      <c r="M20" s="30">
        <f t="shared" ca="1" si="15"/>
        <v>1980215.28</v>
      </c>
      <c r="N20" s="30">
        <f t="shared" ca="1" si="15"/>
        <v>1556083.27</v>
      </c>
      <c r="O20" s="29">
        <f t="shared" ca="1" si="12"/>
        <v>83.688512000000003</v>
      </c>
      <c r="P20" s="29">
        <f t="shared" ca="1" si="13"/>
        <v>78.581520187037441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1664375</v>
      </c>
      <c r="M22" s="42">
        <f t="shared" ca="1" si="18"/>
        <v>1785215.28</v>
      </c>
      <c r="N22" s="41">
        <f t="shared" ca="1" si="18"/>
        <v>1361083.27</v>
      </c>
      <c r="O22" s="41">
        <f t="shared" ca="1" si="17"/>
        <v>81.777440180247837</v>
      </c>
      <c r="P22" s="41">
        <f t="shared" ca="1" si="13"/>
        <v>76.241968419629472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1360100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304275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610667</v>
      </c>
      <c r="M28" s="23">
        <f t="shared" si="23"/>
        <v>0</v>
      </c>
      <c r="N28" s="23">
        <f t="shared" ca="1" si="23"/>
        <v>521867.95</v>
      </c>
      <c r="O28" s="22">
        <f t="shared" ref="O28:O30" ca="1" si="24">IF(L28&gt;0,N28*100/L28,0)</f>
        <v>85.458678788930797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610667</v>
      </c>
      <c r="M30" s="30">
        <f t="shared" si="27"/>
        <v>0</v>
      </c>
      <c r="N30" s="30">
        <f t="shared" ca="1" si="27"/>
        <v>521867.95</v>
      </c>
      <c r="O30" s="29">
        <f t="shared" ca="1" si="24"/>
        <v>85.458678788930797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610667</v>
      </c>
      <c r="M32" s="41">
        <f t="shared" si="30"/>
        <v>0</v>
      </c>
      <c r="N32" s="41">
        <f t="shared" ca="1" si="30"/>
        <v>521867.95</v>
      </c>
      <c r="O32" s="41">
        <f t="shared" ca="1" si="29"/>
        <v>85.458678788930797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610667</v>
      </c>
      <c r="M34" s="41">
        <f t="shared" si="32"/>
        <v>0</v>
      </c>
      <c r="N34" s="41">
        <f t="shared" ca="1" si="32"/>
        <v>521867.95</v>
      </c>
      <c r="O34" s="41">
        <f t="shared" ca="1" si="29"/>
        <v>85.458678788930797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1859375</v>
      </c>
      <c r="M37" s="55">
        <f t="shared" ca="1" si="33"/>
        <v>1980215.28</v>
      </c>
      <c r="N37" s="55">
        <f t="shared" ca="1" si="33"/>
        <v>1556083.27</v>
      </c>
      <c r="O37" s="56">
        <f t="shared" ca="1" si="29"/>
        <v>83.688512000000003</v>
      </c>
      <c r="P37" s="56">
        <f t="shared" ca="1" si="25"/>
        <v>78.581520187037441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615100</v>
      </c>
      <c r="N41" s="79">
        <f t="shared" ca="1" si="34"/>
        <v>478235.55</v>
      </c>
      <c r="O41" s="78">
        <f t="shared" ref="O41:O43" ca="1" si="35">IF(L41&gt;0,N41*100/L41,0)</f>
        <v>77.749235896602173</v>
      </c>
      <c r="P41" s="78">
        <f t="shared" ref="P41:P43" ca="1" si="36">IF(M41&gt;0,N41*100/M41,0)</f>
        <v>77.749235896602173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615100</v>
      </c>
      <c r="N43" s="79">
        <f t="shared" ca="1" si="38"/>
        <v>478235.55</v>
      </c>
      <c r="O43" s="78">
        <f t="shared" ca="1" si="35"/>
        <v>77.749235896602173</v>
      </c>
      <c r="P43" s="78">
        <f t="shared" ca="1" si="36"/>
        <v>77.749235896602173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IFERROR(__xludf.DUMMYFUNCTION("IMPORTRANGE(""https://docs.google.com/spreadsheets/d/1Yj_ptqi66GCucihVvJfMjLAmec39IyEx_6qawtMGysU/edit?usp=sharing"",""สบก!Q90"")"),567100)</f>
        <v>567100</v>
      </c>
      <c r="N45" s="91">
        <f ca="1">IFERROR(__xludf.DUMMYFUNCTION("IMPORTRANGE(""https://docs.google.com/spreadsheets/d/1Yj_ptqi66GCucihVvJfMjLAmec39IyEx_6qawtMGysU/edit?usp=sharing"",""สบก!R90"")"),430235.55)</f>
        <v>430235.55</v>
      </c>
      <c r="O45" s="92">
        <f ca="1">IF(L45&gt;0,N45*100/L45,0)</f>
        <v>75.865905484041619</v>
      </c>
      <c r="P45" s="92">
        <f ca="1">IF(M45&gt;0,N45*100/M45,0)</f>
        <v>75.865905484041619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169000</v>
      </c>
      <c r="M53" s="125">
        <f t="shared" ca="1" si="39"/>
        <v>242840.28</v>
      </c>
      <c r="N53" s="125">
        <f t="shared" ca="1" si="39"/>
        <v>204840.28</v>
      </c>
      <c r="O53" s="124">
        <f t="shared" ref="O53:O55" ca="1" si="40">IF(L53&gt;0,N53*100/L53,0)</f>
        <v>121.20726627218934</v>
      </c>
      <c r="P53" s="124">
        <f t="shared" ref="P53:P55" ca="1" si="41">IF(M53&gt;0,N53*100/M53,0)</f>
        <v>84.351854642895319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169000</v>
      </c>
      <c r="M55" s="125">
        <f t="shared" ca="1" si="43"/>
        <v>242840.28</v>
      </c>
      <c r="N55" s="125">
        <f t="shared" ca="1" si="43"/>
        <v>204840.28</v>
      </c>
      <c r="O55" s="124">
        <f t="shared" ca="1" si="40"/>
        <v>121.20726627218934</v>
      </c>
      <c r="P55" s="124">
        <f t="shared" ca="1" si="41"/>
        <v>84.351854642895319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169000</v>
      </c>
      <c r="M57" s="91">
        <f ca="1">IFERROR(__xludf.DUMMYFUNCTION("IMPORTRANGE(""https://docs.google.com/spreadsheets/d/1Yj_ptqi66GCucihVvJfMjLAmec39IyEx_6qawtMGysU/edit?usp=sharing"",""สบก!Z90"")"),242840.28)</f>
        <v>242840.28</v>
      </c>
      <c r="N57" s="91">
        <f ca="1">IFERROR(__xludf.DUMMYFUNCTION("IMPORTRANGE(""https://docs.google.com/spreadsheets/d/1Yj_ptqi66GCucihVvJfMjLAmec39IyEx_6qawtMGysU/edit?usp=sharing"",""สบก!AA90"")"),204840.28)</f>
        <v>204840.28</v>
      </c>
      <c r="O57" s="92">
        <f ca="1">IF(L57&gt;0,N57*100/L57,0)</f>
        <v>121.20726627218934</v>
      </c>
      <c r="P57" s="92">
        <f ca="1">IF(M57&gt;0,N57*100/M57,0)</f>
        <v>84.351854642895319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IFERROR(__xludf.DUMMYFUNCTION("IMPORTRANGE(""https://docs.google.com/spreadsheets/d/1Yj_ptqi66GCucihVvJfMjLAmec39IyEx_6qawtMGysU/edit?usp=sharing"",""สบก!V90"")"),169000)</f>
        <v>169000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IFERROR(__xludf.DUMMYFUNCTION("IMPORTRANGE(""https://docs.google.com/spreadsheets/d/1Yj_ptqi66GCucihVvJfMjLAmec39IyEx_6qawtMGysU/edit?usp=sharing"",""สบก!AI90"")"),0)</f>
        <v>0</v>
      </c>
      <c r="N70" s="174">
        <f ca="1">IFERROR(__xludf.DUMMYFUNCTION("IMPORTRANGE(""https://docs.google.com/spreadsheets/d/1Yj_ptqi66GCucihVvJfMjLAmec39IyEx_6qawtMGysU/edit?usp=sharing"",""สบก!AJ90"")"),0)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IFERROR(__xludf.DUMMYFUNCTION("IMPORTRANGE(""https://docs.google.com/spreadsheets/d/1Yj_ptqi66GCucihVvJfMjLAmec39IyEx_6qawtMGysU/edit?usp=sharing"",""สบก!AE90"")"),0)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IFERROR(__xludf.DUMMYFUNCTION("IMPORTRANGE(""https://docs.google.com/spreadsheets/d/1Yj_ptqi66GCucihVvJfMjLAmec39IyEx_6qawtMGysU/edit?usp=sharing"",""สบก!AF90"")"),0)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IFERROR(__xludf.DUMMYFUNCTION("IMPORTRANGE(""https://docs.google.com/spreadsheets/d/1IYY_tgx_IHuhSq3AJ5eI5OnqOPBNLWSHKh2a30DoXe8/edit?usp=sharing"",""ยะลา!J16"")"),0)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IFERROR(__xludf.DUMMYFUNCTION("IMPORTRANGE(""https://docs.google.com/spreadsheets/d/1IYY_tgx_IHuhSq3AJ5eI5OnqOPBNLWSHKh2a30DoXe8/edit?usp=sharing"",""ยะลา!J17"")"),0)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IFERROR(__xludf.DUMMYFUNCTION("IMPORTRANGE(""https://docs.google.com/spreadsheets/d/1IYY_tgx_IHuhSq3AJ5eI5OnqOPBNLWSHKh2a30DoXe8/edit?usp=sharing"",""ยะลา!J18"")"),0)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IFERROR(__xludf.DUMMYFUNCTION("IMPORTRANGE(""https://docs.google.com/spreadsheets/d/1IYY_tgx_IHuhSq3AJ5eI5OnqOPBNLWSHKh2a30DoXe8/edit?usp=sharing"",""ยะลา!J19"")"),0)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IFERROR(__xludf.DUMMYFUNCTION("IMPORTRANGE(""https://docs.google.com/spreadsheets/d/1IYY_tgx_IHuhSq3AJ5eI5OnqOPBNLWSHKh2a30DoXe8/edit?usp=sharing"",""ยะลา!I20"")"),0)</f>
        <v>0</v>
      </c>
      <c r="J80" s="207">
        <f ca="1">IFERROR(__xludf.DUMMYFUNCTION("IMPORTRANGE(""https://docs.google.com/spreadsheets/d/1IYY_tgx_IHuhSq3AJ5eI5OnqOPBNLWSHKh2a30DoXe8/edit?usp=sharing"",""ยะลา!J20"")"),0)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IFERROR(__xludf.DUMMYFUNCTION("IMPORTRANGE(""https://docs.google.com/spreadsheets/d/1IYY_tgx_IHuhSq3AJ5eI5OnqOPBNLWSHKh2a30DoXe8/edit?usp=sharing"",""ยะลา!I21"")"),0)</f>
        <v>0</v>
      </c>
      <c r="J81" s="207">
        <f ca="1">IFERROR(__xludf.DUMMYFUNCTION("IMPORTRANGE(""https://docs.google.com/spreadsheets/d/1IYY_tgx_IHuhSq3AJ5eI5OnqOPBNLWSHKh2a30DoXe8/edit?usp=sharing"",""ยะลา!J21"")"),0)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IFERROR(__xludf.DUMMYFUNCTION("IMPORTRANGE(""https://docs.google.com/spreadsheets/d/1IYY_tgx_IHuhSq3AJ5eI5OnqOPBNLWSHKh2a30DoXe8/edit?usp=sharing"",""ยะลา!I22"")"),0)</f>
        <v>0</v>
      </c>
      <c r="J82" s="210">
        <f ca="1">IFERROR(__xludf.DUMMYFUNCTION("IMPORTRANGE(""https://docs.google.com/spreadsheets/d/1IYY_tgx_IHuhSq3AJ5eI5OnqOPBNLWSHKh2a30DoXe8/edit?usp=sharing"",""ยะลา!J22"")"),0)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IFERROR(__xludf.DUMMYFUNCTION("IMPORTRANGE(""https://docs.google.com/spreadsheets/d/1IYY_tgx_IHuhSq3AJ5eI5OnqOPBNLWSHKh2a30DoXe8/edit?usp=sharing"",""ยะลา!I23"")"),0)</f>
        <v>0</v>
      </c>
      <c r="J83" s="210">
        <f ca="1">IFERROR(__xludf.DUMMYFUNCTION("IMPORTRANGE(""https://docs.google.com/spreadsheets/d/1IYY_tgx_IHuhSq3AJ5eI5OnqOPBNLWSHKh2a30DoXe8/edit?usp=sharing"",""ยะลา!J23"")"),0)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IFERROR(__xludf.DUMMYFUNCTION("IMPORTRANGE(""https://docs.google.com/spreadsheets/d/1IYY_tgx_IHuhSq3AJ5eI5OnqOPBNLWSHKh2a30DoXe8/edit?usp=sharing"",""ยะลา!I24"")"),0)</f>
        <v>0</v>
      </c>
      <c r="J84" s="195">
        <f ca="1">IFERROR(__xludf.DUMMYFUNCTION("IMPORTRANGE(""https://docs.google.com/spreadsheets/d/1IYY_tgx_IHuhSq3AJ5eI5OnqOPBNLWSHKh2a30DoXe8/edit?usp=sharing"",""ยะลา!J24"")"),0)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IFERROR(__xludf.DUMMYFUNCTION("IMPORTRANGE(""https://docs.google.com/spreadsheets/d/1IYY_tgx_IHuhSq3AJ5eI5OnqOPBNLWSHKh2a30DoXe8/edit?usp=sharing"",""ยะลา!I25"")"),0)</f>
        <v>0</v>
      </c>
      <c r="J85" s="195">
        <f ca="1">IFERROR(__xludf.DUMMYFUNCTION("IMPORTRANGE(""https://docs.google.com/spreadsheets/d/1IYY_tgx_IHuhSq3AJ5eI5OnqOPBNLWSHKh2a30DoXe8/edit?usp=sharing"",""ยะลา!J25"")"),0)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IFERROR(__xludf.DUMMYFUNCTION("IMPORTRANGE(""https://docs.google.com/spreadsheets/d/1IYY_tgx_IHuhSq3AJ5eI5OnqOPBNLWSHKh2a30DoXe8/edit?usp=sharing"",""ยะลา!I26"")"),0)</f>
        <v>0</v>
      </c>
      <c r="J86" s="210">
        <f ca="1">IFERROR(__xludf.DUMMYFUNCTION("IMPORTRANGE(""https://docs.google.com/spreadsheets/d/1IYY_tgx_IHuhSq3AJ5eI5OnqOPBNLWSHKh2a30DoXe8/edit?usp=sharing"",""ยะลา!J26"")"),0)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IFERROR(__xludf.DUMMYFUNCTION("IMPORTRANGE(""https://docs.google.com/spreadsheets/d/1IYY_tgx_IHuhSq3AJ5eI5OnqOPBNLWSHKh2a30DoXe8/edit?usp=sharing"",""ยะลา!I27"")"),0)</f>
        <v>0</v>
      </c>
      <c r="J87" s="210">
        <f ca="1">IFERROR(__xludf.DUMMYFUNCTION("IMPORTRANGE(""https://docs.google.com/spreadsheets/d/1IYY_tgx_IHuhSq3AJ5eI5OnqOPBNLWSHKh2a30DoXe8/edit?usp=sharing"",""ยะลา!J27"")"),0)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IFERROR(__xludf.DUMMYFUNCTION("IMPORTRANGE(""https://docs.google.com/spreadsheets/d/1IYY_tgx_IHuhSq3AJ5eI5OnqOPBNLWSHKh2a30DoXe8/edit?usp=sharing"",""ยะลา!I28"")"),0)</f>
        <v>0</v>
      </c>
      <c r="J88" s="210">
        <f ca="1">IFERROR(__xludf.DUMMYFUNCTION("IMPORTRANGE(""https://docs.google.com/spreadsheets/d/1IYY_tgx_IHuhSq3AJ5eI5OnqOPBNLWSHKh2a30DoXe8/edit?usp=sharing"",""ยะลา!J28"")"),0)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IFERROR(__xludf.DUMMYFUNCTION("IMPORTRANGE(""https://docs.google.com/spreadsheets/d/1IYY_tgx_IHuhSq3AJ5eI5OnqOPBNLWSHKh2a30DoXe8/edit?usp=sharing"",""ยะลา!J29"")"),0)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IFERROR(__xludf.DUMMYFUNCTION("IMPORTRANGE(""https://docs.google.com/spreadsheets/d/1IYY_tgx_IHuhSq3AJ5eI5OnqOPBNLWSHKh2a30DoXe8/edit?usp=sharing"",""ยะลา!J30"")"),0)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IFERROR(__xludf.DUMMYFUNCTION("IMPORTRANGE(""https://docs.google.com/spreadsheets/d/1Yj_ptqi66GCucihVvJfMjLAmec39IyEx_6qawtMGysU/edit?usp=sharing"",""สบก!AR90"")"),0)</f>
        <v>0</v>
      </c>
      <c r="N98" s="174">
        <f ca="1">IFERROR(__xludf.DUMMYFUNCTION("IMPORTRANGE(""https://docs.google.com/spreadsheets/d/1Yj_ptqi66GCucihVvJfMjLAmec39IyEx_6qawtMGysU/edit?usp=sharing"",""สบก!AS90"")"),0)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IFERROR(__xludf.DUMMYFUNCTION("IMPORTRANGE(""https://docs.google.com/spreadsheets/d/1Yj_ptqi66GCucihVvJfMjLAmec39IyEx_6qawtMGysU/edit?usp=sharing"",""สบก!AN90"")"),0)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IFERROR(__xludf.DUMMYFUNCTION("IMPORTRANGE(""https://docs.google.com/spreadsheets/d/1Yj_ptqi66GCucihVvJfMjLAmec39IyEx_6qawtMGysU/edit?usp=sharing"",""สบก!AO90"")"),0)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IFERROR(__xludf.DUMMYFUNCTION("IMPORTRANGE(""https://docs.google.com/spreadsheets/d/1IYY_tgx_IHuhSq3AJ5eI5OnqOPBNLWSHKh2a30DoXe8/edit?usp=sharing"",""ยะลา!J39"")"),0)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IFERROR(__xludf.DUMMYFUNCTION("IMPORTRANGE(""https://docs.google.com/spreadsheets/d/1IYY_tgx_IHuhSq3AJ5eI5OnqOPBNLWSHKh2a30DoXe8/edit?usp=sharing"",""ยะลา!J40"")"),0)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IFERROR(__xludf.DUMMYFUNCTION("IMPORTRANGE(""https://docs.google.com/spreadsheets/d/1IYY_tgx_IHuhSq3AJ5eI5OnqOPBNLWSHKh2a30DoXe8/edit?usp=sharing"",""ยะลา!J41"")"),0)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IFERROR(__xludf.DUMMYFUNCTION("IMPORTRANGE(""https://docs.google.com/spreadsheets/d/1IYY_tgx_IHuhSq3AJ5eI5OnqOPBNLWSHKh2a30DoXe8/edit?usp=sharing"",""ยะลา!J42"")"),0)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IFERROR(__xludf.DUMMYFUNCTION("IMPORTRANGE(""https://docs.google.com/spreadsheets/d/1IYY_tgx_IHuhSq3AJ5eI5OnqOPBNLWSHKh2a30DoXe8/edit?usp=sharing"",""ยะลา!I43"")"),0)</f>
        <v>0</v>
      </c>
      <c r="J108" s="210">
        <f ca="1">IFERROR(__xludf.DUMMYFUNCTION("IMPORTRANGE(""https://docs.google.com/spreadsheets/d/1IYY_tgx_IHuhSq3AJ5eI5OnqOPBNLWSHKh2a30DoXe8/edit?usp=sharing"",""ยะลา!J43"")"),0)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IFERROR(__xludf.DUMMYFUNCTION("IMPORTRANGE(""https://docs.google.com/spreadsheets/d/1IYY_tgx_IHuhSq3AJ5eI5OnqOPBNLWSHKh2a30DoXe8/edit?usp=sharing"",""ยะลา!I44"")"),0)</f>
        <v>0</v>
      </c>
      <c r="J109" s="210">
        <f ca="1">IFERROR(__xludf.DUMMYFUNCTION("IMPORTRANGE(""https://docs.google.com/spreadsheets/d/1IYY_tgx_IHuhSq3AJ5eI5OnqOPBNLWSHKh2a30DoXe8/edit?usp=sharing"",""ยะลา!J44"")"),0)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IFERROR(__xludf.DUMMYFUNCTION("IMPORTRANGE(""https://docs.google.com/spreadsheets/d/1IYY_tgx_IHuhSq3AJ5eI5OnqOPBNLWSHKh2a30DoXe8/edit?usp=sharing"",""ยะลา!I45"")"),0)</f>
        <v>0</v>
      </c>
      <c r="J110" s="210">
        <f ca="1">IFERROR(__xludf.DUMMYFUNCTION("IMPORTRANGE(""https://docs.google.com/spreadsheets/d/1IYY_tgx_IHuhSq3AJ5eI5OnqOPBNLWSHKh2a30DoXe8/edit?usp=sharing"",""ยะลา!J45"")"),0)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IFERROR(__xludf.DUMMYFUNCTION("IMPORTRANGE(""https://docs.google.com/spreadsheets/d/1IYY_tgx_IHuhSq3AJ5eI5OnqOPBNLWSHKh2a30DoXe8/edit?usp=sharing"",""ยะลา!I46"")"),0)</f>
        <v>0</v>
      </c>
      <c r="J111" s="210">
        <f ca="1">IFERROR(__xludf.DUMMYFUNCTION("IMPORTRANGE(""https://docs.google.com/spreadsheets/d/1IYY_tgx_IHuhSq3AJ5eI5OnqOPBNLWSHKh2a30DoXe8/edit?usp=sharing"",""ยะลา!J46"")"),0)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IFERROR(__xludf.DUMMYFUNCTION("IMPORTRANGE(""https://docs.google.com/spreadsheets/d/1IYY_tgx_IHuhSq3AJ5eI5OnqOPBNLWSHKh2a30DoXe8/edit?usp=sharing"",""ยะลา!I47"")"),0)</f>
        <v>0</v>
      </c>
      <c r="J112" s="210">
        <f ca="1">IFERROR(__xludf.DUMMYFUNCTION("IMPORTRANGE(""https://docs.google.com/spreadsheets/d/1IYY_tgx_IHuhSq3AJ5eI5OnqOPBNLWSHKh2a30DoXe8/edit?usp=sharing"",""ยะลา!J47"")"),0)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IFERROR(__xludf.DUMMYFUNCTION("IMPORTRANGE(""https://docs.google.com/spreadsheets/d/1IYY_tgx_IHuhSq3AJ5eI5OnqOPBNLWSHKh2a30DoXe8/edit?usp=sharing"",""ยะลา!I48"")"),0)</f>
        <v>0</v>
      </c>
      <c r="J113" s="210">
        <f ca="1">IFERROR(__xludf.DUMMYFUNCTION("IMPORTRANGE(""https://docs.google.com/spreadsheets/d/1IYY_tgx_IHuhSq3AJ5eI5OnqOPBNLWSHKh2a30DoXe8/edit?usp=sharing"",""ยะลา!J48"")"),0)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IFERROR(__xludf.DUMMYFUNCTION("IMPORTRANGE(""https://docs.google.com/spreadsheets/d/1IYY_tgx_IHuhSq3AJ5eI5OnqOPBNLWSHKh2a30DoXe8/edit?usp=sharing"",""ยะลา!J49"")"),0)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IFERROR(__xludf.DUMMYFUNCTION("IMPORTRANGE(""https://docs.google.com/spreadsheets/d/1IYY_tgx_IHuhSq3AJ5eI5OnqOPBNLWSHKh2a30DoXe8/edit?usp=sharing"",""ยะลา!J50"")"),0)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IFERROR(__xludf.DUMMYFUNCTION("IMPORTRANGE(""https://docs.google.com/spreadsheets/d/1Yj_ptqi66GCucihVvJfMjLAmec39IyEx_6qawtMGysU/edit?usp=sharing"",""สบก!BA90"")"),0)</f>
        <v>0</v>
      </c>
      <c r="N122" s="174">
        <f ca="1">IFERROR(__xludf.DUMMYFUNCTION("IMPORTRANGE(""https://docs.google.com/spreadsheets/d/1Yj_ptqi66GCucihVvJfMjLAmec39IyEx_6qawtMGysU/edit?usp=sharing"",""สบก!BB90"")"),0)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IFERROR(__xludf.DUMMYFUNCTION("IMPORTRANGE(""https://docs.google.com/spreadsheets/d/1Yj_ptqi66GCucihVvJfMjLAmec39IyEx_6qawtMGysU/edit?usp=sharing"",""สบก!AW90"")"),0)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IFERROR(__xludf.DUMMYFUNCTION("IMPORTRANGE(""https://docs.google.com/spreadsheets/d/1Yj_ptqi66GCucihVvJfMjLAmec39IyEx_6qawtMGysU/edit?usp=sharing"",""สบก!AX90"")"),0)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IFERROR(__xludf.DUMMYFUNCTION("IMPORTRANGE(""https://docs.google.com/spreadsheets/d/1IYY_tgx_IHuhSq3AJ5eI5OnqOPBNLWSHKh2a30DoXe8/edit?usp=sharing"",""ยะลา!J58"")"),0)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IFERROR(__xludf.DUMMYFUNCTION("IMPORTRANGE(""https://docs.google.com/spreadsheets/d/1IYY_tgx_IHuhSq3AJ5eI5OnqOPBNLWSHKh2a30DoXe8/edit?usp=sharing"",""ยะลา!J59"")"),0)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IFERROR(__xludf.DUMMYFUNCTION("IMPORTRANGE(""https://docs.google.com/spreadsheets/d/1IYY_tgx_IHuhSq3AJ5eI5OnqOPBNLWSHKh2a30DoXe8/edit?usp=sharing"",""ยะลา!J60"")"),0)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IFERROR(__xludf.DUMMYFUNCTION("IMPORTRANGE(""https://docs.google.com/spreadsheets/d/1IYY_tgx_IHuhSq3AJ5eI5OnqOPBNLWSHKh2a30DoXe8/edit?usp=sharing"",""ยะลา!J61"")"),0)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IFERROR(__xludf.DUMMYFUNCTION("IMPORTRANGE(""https://docs.google.com/spreadsheets/d/1IYY_tgx_IHuhSq3AJ5eI5OnqOPBNLWSHKh2a30DoXe8/edit?usp=sharing"",""ยะลา!I62"")"),0)</f>
        <v>0</v>
      </c>
      <c r="J132" s="210">
        <f ca="1">IFERROR(__xludf.DUMMYFUNCTION("IMPORTRANGE(""https://docs.google.com/spreadsheets/d/1IYY_tgx_IHuhSq3AJ5eI5OnqOPBNLWSHKh2a30DoXe8/edit?usp=sharing"",""ยะลา!J62"")"),0)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IFERROR(__xludf.DUMMYFUNCTION("IMPORTRANGE(""https://docs.google.com/spreadsheets/d/1IYY_tgx_IHuhSq3AJ5eI5OnqOPBNLWSHKh2a30DoXe8/edit?usp=sharing"",""ยะลา!I63"")"),0)</f>
        <v>0</v>
      </c>
      <c r="J133" s="210">
        <f ca="1">IFERROR(__xludf.DUMMYFUNCTION("IMPORTRANGE(""https://docs.google.com/spreadsheets/d/1IYY_tgx_IHuhSq3AJ5eI5OnqOPBNLWSHKh2a30DoXe8/edit?usp=sharing"",""ยะลา!J63"")"),0)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IFERROR(__xludf.DUMMYFUNCTION("IMPORTRANGE(""https://docs.google.com/spreadsheets/d/1IYY_tgx_IHuhSq3AJ5eI5OnqOPBNLWSHKh2a30DoXe8/edit?usp=sharing"",""ยะลา!J64"")"),0)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IFERROR(__xludf.DUMMYFUNCTION("IMPORTRANGE(""https://docs.google.com/spreadsheets/d/1IYY_tgx_IHuhSq3AJ5eI5OnqOPBNLWSHKh2a30DoXe8/edit?usp=sharing"",""ยะลา!J65"")"),0)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IFERROR(__xludf.DUMMYFUNCTION("IMPORTRANGE(""https://docs.google.com/spreadsheets/d/1IYY_tgx_IHuhSq3AJ5eI5OnqOPBNLWSHKh2a30DoXe8/edit?usp=sharing"",""ยะลา!I68"")"),0)</f>
        <v>0</v>
      </c>
      <c r="J138" s="273">
        <f ca="1">IFERROR(__xludf.DUMMYFUNCTION("IMPORTRANGE(""https://docs.google.com/spreadsheets/d/1IYY_tgx_IHuhSq3AJ5eI5OnqOPBNLWSHKh2a30DoXe8/edit?usp=sharing"",""ยะลา!J68"")"),0)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29300</v>
      </c>
      <c r="M140" s="156">
        <f t="shared" ca="1" si="64"/>
        <v>37300</v>
      </c>
      <c r="N140" s="156">
        <f t="shared" ca="1" si="64"/>
        <v>26120</v>
      </c>
      <c r="O140" s="155">
        <f t="shared" ref="O140:O142" ca="1" si="65">IF(L140&gt;0,N140*100/L140,0)</f>
        <v>89.146757679180894</v>
      </c>
      <c r="P140" s="155">
        <f t="shared" ref="P140:P142" ca="1" si="66">IF(M140&gt;0,N140*100/M140,0)</f>
        <v>70.026809651474537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29300</v>
      </c>
      <c r="M142" s="161">
        <f t="shared" ca="1" si="68"/>
        <v>37300</v>
      </c>
      <c r="N142" s="161">
        <f t="shared" ca="1" si="68"/>
        <v>26120</v>
      </c>
      <c r="O142" s="160">
        <f t="shared" ca="1" si="65"/>
        <v>89.146757679180894</v>
      </c>
      <c r="P142" s="160">
        <f t="shared" ca="1" si="66"/>
        <v>70.026809651474537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29300</v>
      </c>
      <c r="M144" s="173">
        <f ca="1">IFERROR(__xludf.DUMMYFUNCTION("IMPORTRANGE(""https://docs.google.com/spreadsheets/d/1Yj_ptqi66GCucihVvJfMjLAmec39IyEx_6qawtMGysU/edit?usp=sharing"",""สบก!BJ90"")"),37300)</f>
        <v>37300</v>
      </c>
      <c r="N144" s="174">
        <f ca="1">IFERROR(__xludf.DUMMYFUNCTION("IMPORTRANGE(""https://docs.google.com/spreadsheets/d/1Yj_ptqi66GCucihVvJfMjLAmec39IyEx_6qawtMGysU/edit?usp=sharing"",""สบก!BK90"")"),26120)</f>
        <v>26120</v>
      </c>
      <c r="O144" s="175">
        <f ca="1">IF(L144&gt;0,N144*100/L144,0)</f>
        <v>89.146757679180894</v>
      </c>
      <c r="P144" s="175">
        <f ca="1">IF(M144&gt;0,N144*100/M144,0)</f>
        <v>70.026809651474537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IFERROR(__xludf.DUMMYFUNCTION("IMPORTRANGE(""https://docs.google.com/spreadsheets/d/1Yj_ptqi66GCucihVvJfMjLAmec39IyEx_6qawtMGysU/edit?usp=sharing"",""สบก!BF90"")"),0)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IFERROR(__xludf.DUMMYFUNCTION("IMPORTRANGE(""https://docs.google.com/spreadsheets/d/1Yj_ptqi66GCucihVvJfMjLAmec39IyEx_6qawtMGysU/edit?usp=sharing"",""สบก!BG90"")"),29300)</f>
        <v>29300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IFERROR(__xludf.DUMMYFUNCTION("IMPORTRANGE(""https://docs.google.com/spreadsheets/d/1IYY_tgx_IHuhSq3AJ5eI5OnqOPBNLWSHKh2a30DoXe8/edit?usp=sharing"",""ยะลา!I74"")"),4)</f>
        <v>4</v>
      </c>
      <c r="J149" s="281">
        <f ca="1">IFERROR(__xludf.DUMMYFUNCTION("IMPORTRANGE(""https://docs.google.com/spreadsheets/d/1IYY_tgx_IHuhSq3AJ5eI5OnqOPBNLWSHKh2a30DoXe8/edit?usp=sharing"",""ยะลา!J74"")"),3)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IFERROR(__xludf.DUMMYFUNCTION("IMPORTRANGE(""https://docs.google.com/spreadsheets/d/1IYY_tgx_IHuhSq3AJ5eI5OnqOPBNLWSHKh2a30DoXe8/edit?usp=sharing"",""ยะลา!J79"")"),0)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IFERROR(__xludf.DUMMYFUNCTION("IMPORTRANGE(""https://docs.google.com/spreadsheets/d/1IYY_tgx_IHuhSq3AJ5eI5OnqOPBNLWSHKh2a30DoXe8/edit?usp=sharing"",""ยะลา!J80"")"),1)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IFERROR(__xludf.DUMMYFUNCTION("IMPORTRANGE(""https://docs.google.com/spreadsheets/d/1IYY_tgx_IHuhSq3AJ5eI5OnqOPBNLWSHKh2a30DoXe8/edit?usp=sharing"",""ยะลา!J81"")"),1)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IFERROR(__xludf.DUMMYFUNCTION("IMPORTRANGE(""https://docs.google.com/spreadsheets/d/1IYY_tgx_IHuhSq3AJ5eI5OnqOPBNLWSHKh2a30DoXe8/edit?usp=sharing"",""ยะลา!J82"")"),1)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IFERROR(__xludf.DUMMYFUNCTION("IMPORTRANGE(""https://docs.google.com/spreadsheets/d/1IYY_tgx_IHuhSq3AJ5eI5OnqOPBNLWSHKh2a30DoXe8/edit?usp=sharing"",""ยะลา!I83"")"),4)</f>
        <v>4</v>
      </c>
      <c r="J158" s="195">
        <f ca="1">IFERROR(__xludf.DUMMYFUNCTION("IMPORTRANGE(""https://docs.google.com/spreadsheets/d/1IYY_tgx_IHuhSq3AJ5eI5OnqOPBNLWSHKh2a30DoXe8/edit?usp=sharing"",""ยะลา!J83"")"),3)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IFERROR(__xludf.DUMMYFUNCTION("IMPORTRANGE(""https://docs.google.com/spreadsheets/d/1IYY_tgx_IHuhSq3AJ5eI5OnqOPBNLWSHKh2a30DoXe8/edit?usp=sharing"",""ยะลา!J84"")"),228)</f>
        <v>228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IFERROR(__xludf.DUMMYFUNCTION("IMPORTRANGE(""https://docs.google.com/spreadsheets/d/1IYY_tgx_IHuhSq3AJ5eI5OnqOPBNLWSHKh2a30DoXe8/edit?usp=sharing"",""ยะลา!J85"")"),228)</f>
        <v>228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IFERROR(__xludf.DUMMYFUNCTION("IMPORTRANGE(""https://docs.google.com/spreadsheets/d/1IYY_tgx_IHuhSq3AJ5eI5OnqOPBNLWSHKh2a30DoXe8/edit?usp=sharing"",""ยะลา!J86"")"),0)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IFERROR(__xludf.DUMMYFUNCTION("IMPORTRANGE(""https://docs.google.com/spreadsheets/d/1IYY_tgx_IHuhSq3AJ5eI5OnqOPBNLWSHKh2a30DoXe8/edit?usp=sharing"",""ยะลา!J87"")"),0)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IFERROR(__xludf.DUMMYFUNCTION("IMPORTRANGE(""https://docs.google.com/spreadsheets/d/1IYY_tgx_IHuhSq3AJ5eI5OnqOPBNLWSHKh2a30DoXe8/edit?usp=sharing"",""ยะลา!J88"")"),0)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IFERROR(__xludf.DUMMYFUNCTION("IMPORTRANGE(""https://docs.google.com/spreadsheets/d/1IYY_tgx_IHuhSq3AJ5eI5OnqOPBNLWSHKh2a30DoXe8/edit?usp=sharing"",""ยะลา!J94"")"),0)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IFERROR(__xludf.DUMMYFUNCTION("IMPORTRANGE(""https://docs.google.com/spreadsheets/d/1IYY_tgx_IHuhSq3AJ5eI5OnqOPBNLWSHKh2a30DoXe8/edit?usp=sharing"",""ยะลา!J95"")"),1)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IFERROR(__xludf.DUMMYFUNCTION("IMPORTRANGE(""https://docs.google.com/spreadsheets/d/1IYY_tgx_IHuhSq3AJ5eI5OnqOPBNLWSHKh2a30DoXe8/edit?usp=sharing"",""ยะลา!J96"")"),1)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IFERROR(__xludf.DUMMYFUNCTION("IMPORTRANGE(""https://docs.google.com/spreadsheets/d/1IYY_tgx_IHuhSq3AJ5eI5OnqOPBNLWSHKh2a30DoXe8/edit?usp=sharing"",""ยะลา!J97"")"),1)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IFERROR(__xludf.DUMMYFUNCTION("IMPORTRANGE(""https://docs.google.com/spreadsheets/d/1IYY_tgx_IHuhSq3AJ5eI5OnqOPBNLWSHKh2a30DoXe8/edit?usp=sharing"",""ยะลา!I98"")"),1)</f>
        <v>1</v>
      </c>
      <c r="J173" s="195">
        <f ca="1">IFERROR(__xludf.DUMMYFUNCTION("IMPORTRANGE(""https://docs.google.com/spreadsheets/d/1IYY_tgx_IHuhSq3AJ5eI5OnqOPBNLWSHKh2a30DoXe8/edit?usp=sharing"",""ยะลา!J98"")"),1)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IFERROR(__xludf.DUMMYFUNCTION("IMPORTRANGE(""https://docs.google.com/spreadsheets/d/1IYY_tgx_IHuhSq3AJ5eI5OnqOPBNLWSHKh2a30DoXe8/edit?usp=sharing"",""ยะลา!J99"")"),0)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IFERROR(__xludf.DUMMYFUNCTION("IMPORTRANGE(""https://docs.google.com/spreadsheets/d/1IYY_tgx_IHuhSq3AJ5eI5OnqOPBNLWSHKh2a30DoXe8/edit?usp=sharing"",""ยะลา!J100"")"),0)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IFERROR(__xludf.DUMMYFUNCTION("IMPORTRANGE(""https://docs.google.com/spreadsheets/d/1IYY_tgx_IHuhSq3AJ5eI5OnqOPBNLWSHKh2a30DoXe8/edit?usp=sharing"",""ยะลา!J106"")"),0)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IFERROR(__xludf.DUMMYFUNCTION("IMPORTRANGE(""https://docs.google.com/spreadsheets/d/1IYY_tgx_IHuhSq3AJ5eI5OnqOPBNLWSHKh2a30DoXe8/edit?usp=sharing"",""ยะลา!J107"")"),0)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IFERROR(__xludf.DUMMYFUNCTION("IMPORTRANGE(""https://docs.google.com/spreadsheets/d/1IYY_tgx_IHuhSq3AJ5eI5OnqOPBNLWSHKh2a30DoXe8/edit?usp=sharing"",""ยะลา!J108"")"),0)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IFERROR(__xludf.DUMMYFUNCTION("IMPORTRANGE(""https://docs.google.com/spreadsheets/d/1IYY_tgx_IHuhSq3AJ5eI5OnqOPBNLWSHKh2a30DoXe8/edit?usp=sharing"",""ยะลา!J109"")"),0)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IFERROR(__xludf.DUMMYFUNCTION("IMPORTRANGE(""https://docs.google.com/spreadsheets/d/1IYY_tgx_IHuhSq3AJ5eI5OnqOPBNLWSHKh2a30DoXe8/edit?usp=sharing"",""ยะลา!I110"")"),0)</f>
        <v>0</v>
      </c>
      <c r="J185" s="210">
        <f ca="1">IFERROR(__xludf.DUMMYFUNCTION("IMPORTRANGE(""https://docs.google.com/spreadsheets/d/1IYY_tgx_IHuhSq3AJ5eI5OnqOPBNLWSHKh2a30DoXe8/edit?usp=sharing"",""ยะลา!J110"")"),0)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IFERROR(__xludf.DUMMYFUNCTION("IMPORTRANGE(""https://docs.google.com/spreadsheets/d/1IYY_tgx_IHuhSq3AJ5eI5OnqOPBNLWSHKh2a30DoXe8/edit?usp=sharing"",""ยะลา!I111"")"),0)</f>
        <v>0</v>
      </c>
      <c r="J186" s="210">
        <f ca="1">IFERROR(__xludf.DUMMYFUNCTION("IMPORTRANGE(""https://docs.google.com/spreadsheets/d/1IYY_tgx_IHuhSq3AJ5eI5OnqOPBNLWSHKh2a30DoXe8/edit?usp=sharing"",""ยะลา!J111"")"),0)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IFERROR(__xludf.DUMMYFUNCTION("IMPORTRANGE(""https://docs.google.com/spreadsheets/d/1IYY_tgx_IHuhSq3AJ5eI5OnqOPBNLWSHKh2a30DoXe8/edit?usp=sharing"",""ยะลา!J112"")"),0)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IFERROR(__xludf.DUMMYFUNCTION("IMPORTRANGE(""https://docs.google.com/spreadsheets/d/1IYY_tgx_IHuhSq3AJ5eI5OnqOPBNLWSHKh2a30DoXe8/edit?usp=sharing"",""ยะลา!J113"")"),0)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IFERROR(__xludf.DUMMYFUNCTION("IMPORTRANGE(""https://docs.google.com/spreadsheets/d/1IYY_tgx_IHuhSq3AJ5eI5OnqOPBNLWSHKh2a30DoXe8/edit?usp=sharing"",""ยะลา!J114"")"),12000)</f>
        <v>12000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IFERROR(__xludf.DUMMYFUNCTION("IMPORTRANGE(""https://docs.google.com/spreadsheets/d/1IYY_tgx_IHuhSq3AJ5eI5OnqOPBNLWSHKh2a30DoXe8/edit?usp=sharing"",""ยะลา!J119"")"),1)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IFERROR(__xludf.DUMMYFUNCTION("IMPORTRANGE(""https://docs.google.com/spreadsheets/d/1IYY_tgx_IHuhSq3AJ5eI5OnqOPBNLWSHKh2a30DoXe8/edit?usp=sharing"",""ยะลา!J120"")"),1)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IFERROR(__xludf.DUMMYFUNCTION("IMPORTRANGE(""https://docs.google.com/spreadsheets/d/1IYY_tgx_IHuhSq3AJ5eI5OnqOPBNLWSHKh2a30DoXe8/edit?usp=sharing"",""ยะลา!J121"")"),1)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IFERROR(__xludf.DUMMYFUNCTION("IMPORTRANGE(""https://docs.google.com/spreadsheets/d/1IYY_tgx_IHuhSq3AJ5eI5OnqOPBNLWSHKh2a30DoXe8/edit?usp=sharing"",""ยะลา!J122"")"),1)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IFERROR(__xludf.DUMMYFUNCTION("IMPORTRANGE(""https://docs.google.com/spreadsheets/d/1IYY_tgx_IHuhSq3AJ5eI5OnqOPBNLWSHKh2a30DoXe8/edit?usp=sharing"",""ยะลา!I124"")"),12000)</f>
        <v>12000</v>
      </c>
      <c r="J199" s="195">
        <f ca="1">IFERROR(__xludf.DUMMYFUNCTION("IMPORTRANGE(""https://docs.google.com/spreadsheets/d/1IYY_tgx_IHuhSq3AJ5eI5OnqOPBNLWSHKh2a30DoXe8/edit?usp=sharing"",""ยะลา!J124"")"),12000)</f>
        <v>12000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IFERROR(__xludf.DUMMYFUNCTION("IMPORTRANGE(""https://docs.google.com/spreadsheets/d/1IYY_tgx_IHuhSq3AJ5eI5OnqOPBNLWSHKh2a30DoXe8/edit?usp=sharing"",""ยะลา!I125"")"),12000)</f>
        <v>12000</v>
      </c>
      <c r="J200" s="195">
        <f ca="1">IFERROR(__xludf.DUMMYFUNCTION("IMPORTRANGE(""https://docs.google.com/spreadsheets/d/1IYY_tgx_IHuhSq3AJ5eI5OnqOPBNLWSHKh2a30DoXe8/edit?usp=sharing"",""ยะลา!J125"")"),12000)</f>
        <v>12000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IFERROR(__xludf.DUMMYFUNCTION("IMPORTRANGE(""https://docs.google.com/spreadsheets/d/1IYY_tgx_IHuhSq3AJ5eI5OnqOPBNLWSHKh2a30DoXe8/edit?usp=sharing"",""ยะลา!I126"")"),0)</f>
        <v>0</v>
      </c>
      <c r="J201" s="195">
        <f ca="1">IFERROR(__xludf.DUMMYFUNCTION("IMPORTRANGE(""https://docs.google.com/spreadsheets/d/1IYY_tgx_IHuhSq3AJ5eI5OnqOPBNLWSHKh2a30DoXe8/edit?usp=sharing"",""ยะลา!J126"")"),0)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IFERROR(__xludf.DUMMYFUNCTION("IMPORTRANGE(""https://docs.google.com/spreadsheets/d/1IYY_tgx_IHuhSq3AJ5eI5OnqOPBNLWSHKh2a30DoXe8/edit?usp=sharing"",""ยะลา!J127"")"),0)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IFERROR(__xludf.DUMMYFUNCTION("IMPORTRANGE(""https://docs.google.com/spreadsheets/d/1IYY_tgx_IHuhSq3AJ5eI5OnqOPBNLWSHKh2a30DoXe8/edit?usp=sharing"",""ยะลา!J128"")"),0)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IFERROR(__xludf.DUMMYFUNCTION("IMPORTRANGE(""https://docs.google.com/spreadsheets/d/1IYY_tgx_IHuhSq3AJ5eI5OnqOPBNLWSHKh2a30DoXe8/edit?usp=sharing"",""ยะลา!J134"")"),0)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IFERROR(__xludf.DUMMYFUNCTION("IMPORTRANGE(""https://docs.google.com/spreadsheets/d/1IYY_tgx_IHuhSq3AJ5eI5OnqOPBNLWSHKh2a30DoXe8/edit?usp=sharing"",""ยะลา!J135"")"),0)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IFERROR(__xludf.DUMMYFUNCTION("IMPORTRANGE(""https://docs.google.com/spreadsheets/d/1IYY_tgx_IHuhSq3AJ5eI5OnqOPBNLWSHKh2a30DoXe8/edit?usp=sharing"",""ยะลา!J136"")"),0)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IFERROR(__xludf.DUMMYFUNCTION("IMPORTRANGE(""https://docs.google.com/spreadsheets/d/1IYY_tgx_IHuhSq3AJ5eI5OnqOPBNLWSHKh2a30DoXe8/edit?usp=sharing"",""ยะลา!J137"")"),0)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IFERROR(__xludf.DUMMYFUNCTION("IMPORTRANGE(""https://docs.google.com/spreadsheets/d/1IYY_tgx_IHuhSq3AJ5eI5OnqOPBNLWSHKh2a30DoXe8/edit?usp=sharing"",""ยะลา!I138"")"),0)</f>
        <v>0</v>
      </c>
      <c r="J213" s="210">
        <f ca="1">IFERROR(__xludf.DUMMYFUNCTION("IMPORTRANGE(""https://docs.google.com/spreadsheets/d/1IYY_tgx_IHuhSq3AJ5eI5OnqOPBNLWSHKh2a30DoXe8/edit?usp=sharing"",""ยะลา!J138"")"),0)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IFERROR(__xludf.DUMMYFUNCTION("IMPORTRANGE(""https://docs.google.com/spreadsheets/d/1IYY_tgx_IHuhSq3AJ5eI5OnqOPBNLWSHKh2a30DoXe8/edit?usp=sharing"",""ยะลา!I140"")"),0)</f>
        <v>0</v>
      </c>
      <c r="J215" s="210">
        <f ca="1">IFERROR(__xludf.DUMMYFUNCTION("IMPORTRANGE(""https://docs.google.com/spreadsheets/d/1IYY_tgx_IHuhSq3AJ5eI5OnqOPBNLWSHKh2a30DoXe8/edit?usp=sharing"",""ยะลา!J140"")"),0)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IFERROR(__xludf.DUMMYFUNCTION("IMPORTRANGE(""https://docs.google.com/spreadsheets/d/1IYY_tgx_IHuhSq3AJ5eI5OnqOPBNLWSHKh2a30DoXe8/edit?usp=sharing"",""ยะลา!I141"")"),0)</f>
        <v>0</v>
      </c>
      <c r="J216" s="210">
        <f ca="1">IFERROR(__xludf.DUMMYFUNCTION("IMPORTRANGE(""https://docs.google.com/spreadsheets/d/1IYY_tgx_IHuhSq3AJ5eI5OnqOPBNLWSHKh2a30DoXe8/edit?usp=sharing"",""ยะลา!J141"")"),0)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IFERROR(__xludf.DUMMYFUNCTION("IMPORTRANGE(""https://docs.google.com/spreadsheets/d/1IYY_tgx_IHuhSq3AJ5eI5OnqOPBNLWSHKh2a30DoXe8/edit?usp=sharing"",""ยะลา!J142"")"),0)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IFERROR(__xludf.DUMMYFUNCTION("IMPORTRANGE(""https://docs.google.com/spreadsheets/d/1IYY_tgx_IHuhSq3AJ5eI5OnqOPBNLWSHKh2a30DoXe8/edit?usp=sharing"",""ยะลา!J143"")"),0)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IFERROR(__xludf.DUMMYFUNCTION("IMPORTRANGE(""https://docs.google.com/spreadsheets/d/1IYY_tgx_IHuhSq3AJ5eI5OnqOPBNLWSHKh2a30DoXe8/edit?usp=sharing"",""ยะลา!I144"")"),15)</f>
        <v>15</v>
      </c>
      <c r="J219" s="273">
        <f ca="1">IFERROR(__xludf.DUMMYFUNCTION("IMPORTRANGE(""https://docs.google.com/spreadsheets/d/1IYY_tgx_IHuhSq3AJ5eI5OnqOPBNLWSHKh2a30DoXe8/edit?usp=sharing"",""ยะลา!J144"")"),15)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IFERROR(__xludf.DUMMYFUNCTION("IMPORTRANGE(""https://docs.google.com/spreadsheets/d/1Yj_ptqi66GCucihVvJfMjLAmec39IyEx_6qawtMGysU/edit?usp=sharing"",""สบก!BS90"")"),21125)</f>
        <v>21125</v>
      </c>
      <c r="N224" s="174">
        <f ca="1">IFERROR(__xludf.DUMMYFUNCTION("IMPORTRANGE(""https://docs.google.com/spreadsheets/d/1Yj_ptqi66GCucihVvJfMjLAmec39IyEx_6qawtMGysU/edit?usp=sharing"",""สบก!BT90"")"),21125)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IFERROR(__xludf.DUMMYFUNCTION("IMPORTRANGE(""https://docs.google.com/spreadsheets/d/1Yj_ptqi66GCucihVvJfMjLAmec39IyEx_6qawtMGysU/edit?usp=sharing"",""สบก!BO90"")"),0)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IFERROR(__xludf.DUMMYFUNCTION("IMPORTRANGE(""https://docs.google.com/spreadsheets/d/1Yj_ptqi66GCucihVvJfMjLAmec39IyEx_6qawtMGysU/edit?usp=sharing"",""สบก!BP90"")"),21125)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IFERROR(__xludf.DUMMYFUNCTION("IMPORTRANGE(""https://docs.google.com/spreadsheets/d/1IYY_tgx_IHuhSq3AJ5eI5OnqOPBNLWSHKh2a30DoXe8/edit?usp=sharing"",""ยะลา!I149"")"),15)</f>
        <v>15</v>
      </c>
      <c r="J229" s="273">
        <f ca="1">IFERROR(__xludf.DUMMYFUNCTION("IMPORTRANGE(""https://docs.google.com/spreadsheets/d/1IYY_tgx_IHuhSq3AJ5eI5OnqOPBNLWSHKh2a30DoXe8/edit?usp=sharing"",""ยะลา!J149"")"),15)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IFERROR(__xludf.DUMMYFUNCTION("IMPORTRANGE(""https://docs.google.com/spreadsheets/d/1IYY_tgx_IHuhSq3AJ5eI5OnqOPBNLWSHKh2a30DoXe8/edit?usp=sharing"",""ยะลา!J151"")"),0)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IFERROR(__xludf.DUMMYFUNCTION("IMPORTRANGE(""https://docs.google.com/spreadsheets/d/1IYY_tgx_IHuhSq3AJ5eI5OnqOPBNLWSHKh2a30DoXe8/edit?usp=sharing"",""ยะลา!J152"")"),1)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IFERROR(__xludf.DUMMYFUNCTION("IMPORTRANGE(""https://docs.google.com/spreadsheets/d/1IYY_tgx_IHuhSq3AJ5eI5OnqOPBNLWSHKh2a30DoXe8/edit?usp=sharing"",""ยะลา!J153"")"),1)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IFERROR(__xludf.DUMMYFUNCTION("IMPORTRANGE(""https://docs.google.com/spreadsheets/d/1IYY_tgx_IHuhSq3AJ5eI5OnqOPBNLWSHKh2a30DoXe8/edit?usp=sharing"",""ยะลา!J154"")"),1)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IFERROR(__xludf.DUMMYFUNCTION("IMPORTRANGE(""https://docs.google.com/spreadsheets/d/1IYY_tgx_IHuhSq3AJ5eI5OnqOPBNLWSHKh2a30DoXe8/edit?usp=sharing"",""ยะลา!I155"")"),15)</f>
        <v>15</v>
      </c>
      <c r="J235" s="195">
        <f ca="1">IFERROR(__xludf.DUMMYFUNCTION("IMPORTRANGE(""https://docs.google.com/spreadsheets/d/1IYY_tgx_IHuhSq3AJ5eI5OnqOPBNLWSHKh2a30DoXe8/edit?usp=sharing"",""ยะลา!J155"")"),15)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IFERROR(__xludf.DUMMYFUNCTION("IMPORTRANGE(""https://docs.google.com/spreadsheets/d/1IYY_tgx_IHuhSq3AJ5eI5OnqOPBNLWSHKh2a30DoXe8/edit?usp=sharing"",""ยะลา!J156"")"),0)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IFERROR(__xludf.DUMMYFUNCTION("IMPORTRANGE(""https://docs.google.com/spreadsheets/d/1IYY_tgx_IHuhSq3AJ5eI5OnqOPBNLWSHKh2a30DoXe8/edit?usp=sharing"",""ยะลา!J157"")"),0)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IFERROR(__xludf.DUMMYFUNCTION("IMPORTRANGE(""https://docs.google.com/spreadsheets/d/1IYY_tgx_IHuhSq3AJ5eI5OnqOPBNLWSHKh2a30DoXe8/edit?usp=sharing"",""ยะลา!I158"")"),0)</f>
        <v>0</v>
      </c>
      <c r="J238" s="273">
        <f ca="1">IFERROR(__xludf.DUMMYFUNCTION("IMPORTRANGE(""https://docs.google.com/spreadsheets/d/1IYY_tgx_IHuhSq3AJ5eI5OnqOPBNLWSHKh2a30DoXe8/edit?usp=sharing"",""ยะลา!J158"")"),0)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IFERROR(__xludf.DUMMYFUNCTION("IMPORTRANGE(""https://docs.google.com/spreadsheets/d/1IYY_tgx_IHuhSq3AJ5eI5OnqOPBNLWSHKh2a30DoXe8/edit?usp=sharing"",""ยะลา!J159"")"),"")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IFERROR(__xludf.DUMMYFUNCTION("IMPORTRANGE(""https://docs.google.com/spreadsheets/d/1IYY_tgx_IHuhSq3AJ5eI5OnqOPBNLWSHKh2a30DoXe8/edit?usp=sharing"",""ยะลา!J161"")"),0)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IFERROR(__xludf.DUMMYFUNCTION("IMPORTRANGE(""https://docs.google.com/spreadsheets/d/1IYY_tgx_IHuhSq3AJ5eI5OnqOPBNLWSHKh2a30DoXe8/edit?usp=sharing"",""ยะลา!J162"")"),0)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IFERROR(__xludf.DUMMYFUNCTION("IMPORTRANGE(""https://docs.google.com/spreadsheets/d/1IYY_tgx_IHuhSq3AJ5eI5OnqOPBNLWSHKh2a30DoXe8/edit?usp=sharing"",""ยะลา!J163"")"),0)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IFERROR(__xludf.DUMMYFUNCTION("IMPORTRANGE(""https://docs.google.com/spreadsheets/d/1IYY_tgx_IHuhSq3AJ5eI5OnqOPBNLWSHKh2a30DoXe8/edit?usp=sharing"",""ยะลา!I164"")"),0)</f>
        <v>0</v>
      </c>
      <c r="J244" s="194">
        <f ca="1">IFERROR(__xludf.DUMMYFUNCTION("IMPORTRANGE(""https://docs.google.com/spreadsheets/d/1IYY_tgx_IHuhSq3AJ5eI5OnqOPBNLWSHKh2a30DoXe8/edit?usp=sharing"",""ยะลา!J164"")"),0)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IFERROR(__xludf.DUMMYFUNCTION("IMPORTRANGE(""https://docs.google.com/spreadsheets/d/1IYY_tgx_IHuhSq3AJ5eI5OnqOPBNLWSHKh2a30DoXe8/edit?usp=sharing"",""ยะลา!J165"")"),0)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IFERROR(__xludf.DUMMYFUNCTION("IMPORTRANGE(""https://docs.google.com/spreadsheets/d/1Yj_ptqi66GCucihVvJfMjLAmec39IyEx_6qawtMGysU/edit?usp=sharing"",""สบก!CB90"")"),0)</f>
        <v>0</v>
      </c>
      <c r="N254" s="174">
        <f ca="1">IFERROR(__xludf.DUMMYFUNCTION("IMPORTRANGE(""https://docs.google.com/spreadsheets/d/1Yj_ptqi66GCucihVvJfMjLAmec39IyEx_6qawtMGysU/edit?usp=sharing"",""สบก!CC90"")"),0)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IFERROR(__xludf.DUMMYFUNCTION("IMPORTRANGE(""https://docs.google.com/spreadsheets/d/1Yj_ptqi66GCucihVvJfMjLAmec39IyEx_6qawtMGysU/edit?usp=sharing"",""สบก!BX90"")"),0)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IFERROR(__xludf.DUMMYFUNCTION("IMPORTRANGE(""https://docs.google.com/spreadsheets/d/1Yj_ptqi66GCucihVvJfMjLAmec39IyEx_6qawtMGysU/edit?usp=sharing"",""สบก!BY90"")"),0)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IFERROR(__xludf.DUMMYFUNCTION("IMPORTRANGE(""https://docs.google.com/spreadsheets/d/1IYY_tgx_IHuhSq3AJ5eI5OnqOPBNLWSHKh2a30DoXe8/edit?usp=sharing"",""ยะลา!J175"")"),0)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IFERROR(__xludf.DUMMYFUNCTION("IMPORTRANGE(""https://docs.google.com/spreadsheets/d/1IYY_tgx_IHuhSq3AJ5eI5OnqOPBNLWSHKh2a30DoXe8/edit?usp=sharing"",""ยะลา!J176"")"),0)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IFERROR(__xludf.DUMMYFUNCTION("IMPORTRANGE(""https://docs.google.com/spreadsheets/d/1IYY_tgx_IHuhSq3AJ5eI5OnqOPBNLWSHKh2a30DoXe8/edit?usp=sharing"",""ยะลา!J177"")"),0)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IFERROR(__xludf.DUMMYFUNCTION("IMPORTRANGE(""https://docs.google.com/spreadsheets/d/1IYY_tgx_IHuhSq3AJ5eI5OnqOPBNLWSHKh2a30DoXe8/edit?usp=sharing"",""ยะลา!J178"")"),0)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IFERROR(__xludf.DUMMYFUNCTION("IMPORTRANGE(""https://docs.google.com/spreadsheets/d/1IYY_tgx_IHuhSq3AJ5eI5OnqOPBNLWSHKh2a30DoXe8/edit?usp=sharing"",""ยะลา!I179"")"),0)</f>
        <v>0</v>
      </c>
      <c r="J264" s="195">
        <f ca="1">IFERROR(__xludf.DUMMYFUNCTION("IMPORTRANGE(""https://docs.google.com/spreadsheets/d/1IYY_tgx_IHuhSq3AJ5eI5OnqOPBNLWSHKh2a30DoXe8/edit?usp=sharing"",""ยะลา!J179"")"),0)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IFERROR(__xludf.DUMMYFUNCTION("IMPORTRANGE(""https://docs.google.com/spreadsheets/d/1IYY_tgx_IHuhSq3AJ5eI5OnqOPBNLWSHKh2a30DoXe8/edit?usp=sharing"",""ยะลา!I180"")"),0)</f>
        <v>0</v>
      </c>
      <c r="J265" s="195">
        <f ca="1">IFERROR(__xludf.DUMMYFUNCTION("IMPORTRANGE(""https://docs.google.com/spreadsheets/d/1IYY_tgx_IHuhSq3AJ5eI5OnqOPBNLWSHKh2a30DoXe8/edit?usp=sharing"",""ยะลา!J180"")"),0)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IFERROR(__xludf.DUMMYFUNCTION("IMPORTRANGE(""https://docs.google.com/spreadsheets/d/1IYY_tgx_IHuhSq3AJ5eI5OnqOPBNLWSHKh2a30DoXe8/edit?usp=sharing"",""ยะลา!I181"")"),0)</f>
        <v>0</v>
      </c>
      <c r="J266" s="195">
        <f ca="1">IFERROR(__xludf.DUMMYFUNCTION("IMPORTRANGE(""https://docs.google.com/spreadsheets/d/1IYY_tgx_IHuhSq3AJ5eI5OnqOPBNLWSHKh2a30DoXe8/edit?usp=sharing"",""ยะลา!J181"")"),0)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IFERROR(__xludf.DUMMYFUNCTION("IMPORTRANGE(""https://docs.google.com/spreadsheets/d/1IYY_tgx_IHuhSq3AJ5eI5OnqOPBNLWSHKh2a30DoXe8/edit?usp=sharing"",""ยะลา!I182"")"),0)</f>
        <v>0</v>
      </c>
      <c r="J267" s="195">
        <f ca="1">IFERROR(__xludf.DUMMYFUNCTION("IMPORTRANGE(""https://docs.google.com/spreadsheets/d/1IYY_tgx_IHuhSq3AJ5eI5OnqOPBNLWSHKh2a30DoXe8/edit?usp=sharing"",""ยะลา!J182"")"),0)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IFERROR(__xludf.DUMMYFUNCTION("IMPORTRANGE(""https://docs.google.com/spreadsheets/d/1IYY_tgx_IHuhSq3AJ5eI5OnqOPBNLWSHKh2a30DoXe8/edit?usp=sharing"",""ยะลา!J183"")"),0)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IFERROR(__xludf.DUMMYFUNCTION("IMPORTRANGE(""https://docs.google.com/spreadsheets/d/1Yj_ptqi66GCucihVvJfMjLAmec39IyEx_6qawtMGysU/edit?usp=sharing"",""สบก!CK90"")"),0)</f>
        <v>0</v>
      </c>
      <c r="N275" s="174">
        <f ca="1">IFERROR(__xludf.DUMMYFUNCTION("IMPORTRANGE(""https://docs.google.com/spreadsheets/d/1Yj_ptqi66GCucihVvJfMjLAmec39IyEx_6qawtMGysU/edit?usp=sharing"",""สบก!CL90"")"),0)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IFERROR(__xludf.DUMMYFUNCTION("IMPORTRANGE(""https://docs.google.com/spreadsheets/d/1Yj_ptqi66GCucihVvJfMjLAmec39IyEx_6qawtMGysU/edit?usp=sharing"",""สบก!CG90"")"),0)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IFERROR(__xludf.DUMMYFUNCTION("IMPORTRANGE(""https://docs.google.com/spreadsheets/d/1Yj_ptqi66GCucihVvJfMjLAmec39IyEx_6qawtMGysU/edit?usp=sharing"",""สบก!CH90"")"),0)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IFERROR(__xludf.DUMMYFUNCTION("IMPORTRANGE(""https://docs.google.com/spreadsheets/d/1IYY_tgx_IHuhSq3AJ5eI5OnqOPBNLWSHKh2a30DoXe8/edit?usp=sharing"",""ยะลา!J191"")"),0)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IFERROR(__xludf.DUMMYFUNCTION("IMPORTRANGE(""https://docs.google.com/spreadsheets/d/1IYY_tgx_IHuhSq3AJ5eI5OnqOPBNLWSHKh2a30DoXe8/edit?usp=sharing"",""ยะลา!J192"")"),0)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IFERROR(__xludf.DUMMYFUNCTION("IMPORTRANGE(""https://docs.google.com/spreadsheets/d/1IYY_tgx_IHuhSq3AJ5eI5OnqOPBNLWSHKh2a30DoXe8/edit?usp=sharing"",""ยะลา!J193"")"),0)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IFERROR(__xludf.DUMMYFUNCTION("IMPORTRANGE(""https://docs.google.com/spreadsheets/d/1IYY_tgx_IHuhSq3AJ5eI5OnqOPBNLWSHKh2a30DoXe8/edit?usp=sharing"",""ยะลา!J194"")"),0)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IFERROR(__xludf.DUMMYFUNCTION("IMPORTRANGE(""https://docs.google.com/spreadsheets/d/1IYY_tgx_IHuhSq3AJ5eI5OnqOPBNLWSHKh2a30DoXe8/edit?usp=sharing"",""ยะลา!I195"")"),0)</f>
        <v>0</v>
      </c>
      <c r="J285" s="195">
        <f ca="1">IFERROR(__xludf.DUMMYFUNCTION("IMPORTRANGE(""https://docs.google.com/spreadsheets/d/1IYY_tgx_IHuhSq3AJ5eI5OnqOPBNLWSHKh2a30DoXe8/edit?usp=sharing"",""ยะลา!J195"")"),0)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IFERROR(__xludf.DUMMYFUNCTION("IMPORTRANGE(""https://docs.google.com/spreadsheets/d/1IYY_tgx_IHuhSq3AJ5eI5OnqOPBNLWSHKh2a30DoXe8/edit?usp=sharing"",""ยะลา!J196"")"),0)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IFERROR(__xludf.DUMMYFUNCTION("IMPORTRANGE(""https://docs.google.com/spreadsheets/d/1IYY_tgx_IHuhSq3AJ5eI5OnqOPBNLWSHKh2a30DoXe8/edit?usp=sharing"",""ยะลา!J197"")"),0)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IFERROR(__xludf.DUMMYFUNCTION("IMPORTRANGE(""https://docs.google.com/spreadsheets/d/1Yj_ptqi66GCucihVvJfMjLAmec39IyEx_6qawtMGysU/edit?usp=sharing"",""สบก!CT90"")"),0)</f>
        <v>0</v>
      </c>
      <c r="N294" s="174">
        <f ca="1">IFERROR(__xludf.DUMMYFUNCTION("IMPORTRANGE(""https://docs.google.com/spreadsheets/d/1Yj_ptqi66GCucihVvJfMjLAmec39IyEx_6qawtMGysU/edit?usp=sharing"",""สบก!CU90"")"),0)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IFERROR(__xludf.DUMMYFUNCTION("IMPORTRANGE(""https://docs.google.com/spreadsheets/d/1Yj_ptqi66GCucihVvJfMjLAmec39IyEx_6qawtMGysU/edit?usp=sharing"",""สบก!CP90"")"),0)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IFERROR(__xludf.DUMMYFUNCTION("IMPORTRANGE(""https://docs.google.com/spreadsheets/d/1Yj_ptqi66GCucihVvJfMjLAmec39IyEx_6qawtMGysU/edit?usp=sharing"",""สบก!CQ90"")"),0)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IFERROR(__xludf.DUMMYFUNCTION("IMPORTRANGE(""https://docs.google.com/spreadsheets/d/1IYY_tgx_IHuhSq3AJ5eI5OnqOPBNLWSHKh2a30DoXe8/edit?usp=sharing"",""ยะลา!J205"")"),0)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IFERROR(__xludf.DUMMYFUNCTION("IMPORTRANGE(""https://docs.google.com/spreadsheets/d/1IYY_tgx_IHuhSq3AJ5eI5OnqOPBNLWSHKh2a30DoXe8/edit?usp=sharing"",""ยะลา!J206"")"),0)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IFERROR(__xludf.DUMMYFUNCTION("IMPORTRANGE(""https://docs.google.com/spreadsheets/d/1IYY_tgx_IHuhSq3AJ5eI5OnqOPBNLWSHKh2a30DoXe8/edit?usp=sharing"",""ยะลา!J207"")"),0)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IFERROR(__xludf.DUMMYFUNCTION("IMPORTRANGE(""https://docs.google.com/spreadsheets/d/1IYY_tgx_IHuhSq3AJ5eI5OnqOPBNLWSHKh2a30DoXe8/edit?usp=sharing"",""ยะลา!J208"")"),0)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IFERROR(__xludf.DUMMYFUNCTION("IMPORTRANGE(""https://docs.google.com/spreadsheets/d/1IYY_tgx_IHuhSq3AJ5eI5OnqOPBNLWSHKh2a30DoXe8/edit?usp=sharing"",""ยะลา!I209"")"),0)</f>
        <v>0</v>
      </c>
      <c r="J304" s="210">
        <f ca="1">IFERROR(__xludf.DUMMYFUNCTION("IMPORTRANGE(""https://docs.google.com/spreadsheets/d/1IYY_tgx_IHuhSq3AJ5eI5OnqOPBNLWSHKh2a30DoXe8/edit?usp=sharing"",""ยะลา!J209"")"),0)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IFERROR(__xludf.DUMMYFUNCTION("IMPORTRANGE(""https://docs.google.com/spreadsheets/d/1IYY_tgx_IHuhSq3AJ5eI5OnqOPBNLWSHKh2a30DoXe8/edit?usp=sharing"",""ยะลา!I211"")"),0)</f>
        <v>0</v>
      </c>
      <c r="J306" s="210">
        <f ca="1">IFERROR(__xludf.DUMMYFUNCTION("IMPORTRANGE(""https://docs.google.com/spreadsheets/d/1IYY_tgx_IHuhSq3AJ5eI5OnqOPBNLWSHKh2a30DoXe8/edit?usp=sharing"",""ยะลา!J211"")"),0)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IFERROR(__xludf.DUMMYFUNCTION("IMPORTRANGE(""https://docs.google.com/spreadsheets/d/1IYY_tgx_IHuhSq3AJ5eI5OnqOPBNLWSHKh2a30DoXe8/edit?usp=sharing"",""ยะลา!J212"")"),0)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IFERROR(__xludf.DUMMYFUNCTION("IMPORTRANGE(""https://docs.google.com/spreadsheets/d/1Yj_ptqi66GCucihVvJfMjLAmec39IyEx_6qawtMGysU/edit?usp=sharing"",""สบก!DC90"")"),0)</f>
        <v>0</v>
      </c>
      <c r="N314" s="174">
        <f ca="1">IFERROR(__xludf.DUMMYFUNCTION("IMPORTRANGE(""https://docs.google.com/spreadsheets/d/1Yj_ptqi66GCucihVvJfMjLAmec39IyEx_6qawtMGysU/edit?usp=sharing"",""สบก!DD90"")"),0)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IFERROR(__xludf.DUMMYFUNCTION("IMPORTRANGE(""https://docs.google.com/spreadsheets/d/1Yj_ptqi66GCucihVvJfMjLAmec39IyEx_6qawtMGysU/edit?usp=sharing"",""สบก!CY90"")"),0)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IFERROR(__xludf.DUMMYFUNCTION("IMPORTRANGE(""https://docs.google.com/spreadsheets/d/1Yj_ptqi66GCucihVvJfMjLAmec39IyEx_6qawtMGysU/edit?usp=sharing"",""สบก!CZ90"")"),0)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IFERROR(__xludf.DUMMYFUNCTION("IMPORTRANGE(""https://docs.google.com/spreadsheets/d/1IYY_tgx_IHuhSq3AJ5eI5OnqOPBNLWSHKh2a30DoXe8/edit?usp=sharing"",""ยะลา!J220"")"),0)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IFERROR(__xludf.DUMMYFUNCTION("IMPORTRANGE(""https://docs.google.com/spreadsheets/d/1IYY_tgx_IHuhSq3AJ5eI5OnqOPBNLWSHKh2a30DoXe8/edit?usp=sharing"",""ยะลา!J221"")"),0)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IFERROR(__xludf.DUMMYFUNCTION("IMPORTRANGE(""https://docs.google.com/spreadsheets/d/1IYY_tgx_IHuhSq3AJ5eI5OnqOPBNLWSHKh2a30DoXe8/edit?usp=sharing"",""ยะลา!J222"")"),0)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IFERROR(__xludf.DUMMYFUNCTION("IMPORTRANGE(""https://docs.google.com/spreadsheets/d/1IYY_tgx_IHuhSq3AJ5eI5OnqOPBNLWSHKh2a30DoXe8/edit?usp=sharing"",""ยะลา!J223"")"),0)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IFERROR(__xludf.DUMMYFUNCTION("IMPORTRANGE(""https://docs.google.com/spreadsheets/d/1IYY_tgx_IHuhSq3AJ5eI5OnqOPBNLWSHKh2a30DoXe8/edit?usp=sharing"",""ยะลา!I224"")"),0)</f>
        <v>0</v>
      </c>
      <c r="J324" s="210">
        <f ca="1">IFERROR(__xludf.DUMMYFUNCTION("IMPORTRANGE(""https://docs.google.com/spreadsheets/d/1IYY_tgx_IHuhSq3AJ5eI5OnqOPBNLWSHKh2a30DoXe8/edit?usp=sharing"",""ยะลา!J224"")"),0)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IFERROR(__xludf.DUMMYFUNCTION("IMPORTRANGE(""https://docs.google.com/spreadsheets/d/1IYY_tgx_IHuhSq3AJ5eI5OnqOPBNLWSHKh2a30DoXe8/edit?usp=sharing"",""ยะลา!J225"")"),0)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IFERROR(__xludf.DUMMYFUNCTION("IMPORTRANGE(""https://docs.google.com/spreadsheets/d/1IYY_tgx_IHuhSq3AJ5eI5OnqOPBNLWSHKh2a30DoXe8/edit?usp=sharing"",""ยะลา!J226"")"),0)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IFERROR(__xludf.DUMMYFUNCTION("IMPORTRANGE(""https://docs.google.com/spreadsheets/d/1IYY_tgx_IHuhSq3AJ5eI5OnqOPBNLWSHKh2a30DoXe8/edit?usp=sharing"",""ยะลา!I228"")"),80)</f>
        <v>80</v>
      </c>
      <c r="J328" s="345">
        <f ca="1">IFERROR(__xludf.DUMMYFUNCTION("IMPORTRANGE(""https://docs.google.com/spreadsheets/d/1IYY_tgx_IHuhSq3AJ5eI5OnqOPBNLWSHKh2a30DoXe8/edit?usp=sharing"",""ยะลา!J228"")"),108)</f>
        <v>108</v>
      </c>
      <c r="K328" s="323">
        <f ca="1">IF(I328&gt;0,J328*100/I328,0)</f>
        <v>135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1024850</v>
      </c>
      <c r="M329" s="156">
        <f t="shared" ca="1" si="98"/>
        <v>1063850</v>
      </c>
      <c r="N329" s="156">
        <f t="shared" ca="1" si="98"/>
        <v>825762.44</v>
      </c>
      <c r="O329" s="155">
        <f t="shared" ref="O329:O331" ca="1" si="99">IF(L329&gt;0,N329*100/L329,0)</f>
        <v>80.573980582524271</v>
      </c>
      <c r="P329" s="155">
        <f t="shared" ref="P329:P331" ca="1" si="100">IF(M329&gt;0,N329*100/M329,0)</f>
        <v>77.620194576303049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1024850</v>
      </c>
      <c r="M331" s="161">
        <f t="shared" ca="1" si="102"/>
        <v>1063850</v>
      </c>
      <c r="N331" s="161">
        <f t="shared" ca="1" si="102"/>
        <v>825762.44</v>
      </c>
      <c r="O331" s="160">
        <f t="shared" ca="1" si="99"/>
        <v>80.573980582524271</v>
      </c>
      <c r="P331" s="160">
        <f t="shared" ca="1" si="100"/>
        <v>77.620194576303049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877850</v>
      </c>
      <c r="M333" s="173">
        <f ca="1">IFERROR(__xludf.DUMMYFUNCTION("IMPORTRANGE(""https://docs.google.com/spreadsheets/d/1Yj_ptqi66GCucihVvJfMjLAmec39IyEx_6qawtMGysU/edit?usp=sharing"",""สบก!DL90"")"),916850)</f>
        <v>916850</v>
      </c>
      <c r="N333" s="174">
        <f ca="1">IFERROR(__xludf.DUMMYFUNCTION("IMPORTRANGE(""https://docs.google.com/spreadsheets/d/1Yj_ptqi66GCucihVvJfMjLAmec39IyEx_6qawtMGysU/edit?usp=sharing"",""สบก!DM90"")"),678762.44)</f>
        <v>678762.44</v>
      </c>
      <c r="O333" s="175">
        <f ca="1">IF(L333&gt;0,N333*100/L333,0)</f>
        <v>77.321004727459126</v>
      </c>
      <c r="P333" s="175">
        <f ca="1">IF(M333&gt;0,N333*100/M333,0)</f>
        <v>74.032005235316575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IFERROR(__xludf.DUMMYFUNCTION("IMPORTRANGE(""https://docs.google.com/spreadsheets/d/1Yj_ptqi66GCucihVvJfMjLAmec39IyEx_6qawtMGysU/edit?usp=sharing"",""สบก!DH90"")"),624000)</f>
        <v>624000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IFERROR(__xludf.DUMMYFUNCTION("IMPORTRANGE(""https://docs.google.com/spreadsheets/d/1Yj_ptqi66GCucihVvJfMjLAmec39IyEx_6qawtMGysU/edit?usp=sharing"",""สบก!DI90"")"),253850)</f>
        <v>253850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IFERROR(__xludf.DUMMYFUNCTION("IMPORTRANGE(""https://docs.google.com/spreadsheets/d/1IYY_tgx_IHuhSq3AJ5eI5OnqOPBNLWSHKh2a30DoXe8/edit?usp=sharing"",""ยะลา!I234"")"),0)</f>
        <v>0</v>
      </c>
      <c r="J339" s="194">
        <f ca="1">IFERROR(__xludf.DUMMYFUNCTION("IMPORTRANGE(""https://docs.google.com/spreadsheets/d/1IYY_tgx_IHuhSq3AJ5eI5OnqOPBNLWSHKh2a30DoXe8/edit?usp=sharing"",""ยะลา!J234"")"),113)</f>
        <v>113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IFERROR(__xludf.DUMMYFUNCTION("IMPORTRANGE(""https://docs.google.com/spreadsheets/d/1IYY_tgx_IHuhSq3AJ5eI5OnqOPBNLWSHKh2a30DoXe8/edit?usp=sharing"",""ยะลา!I235"")"),880)</f>
        <v>880</v>
      </c>
      <c r="J340" s="194">
        <f ca="1">IFERROR(__xludf.DUMMYFUNCTION("IMPORTRANGE(""https://docs.google.com/spreadsheets/d/1IYY_tgx_IHuhSq3AJ5eI5OnqOPBNLWSHKh2a30DoXe8/edit?usp=sharing"",""ยะลา!J235"")"),957.76)</f>
        <v>957.76</v>
      </c>
      <c r="K340" s="348">
        <f t="shared" ca="1" si="103"/>
        <v>108.83636363636364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IFERROR(__xludf.DUMMYFUNCTION("IMPORTRANGE(""https://docs.google.com/spreadsheets/d/1IYY_tgx_IHuhSq3AJ5eI5OnqOPBNLWSHKh2a30DoXe8/edit?usp=sharing"",""ยะลา!I236"")"),80)</f>
        <v>80</v>
      </c>
      <c r="J341" s="194">
        <f ca="1">IFERROR(__xludf.DUMMYFUNCTION("IMPORTRANGE(""https://docs.google.com/spreadsheets/d/1IYY_tgx_IHuhSq3AJ5eI5OnqOPBNLWSHKh2a30DoXe8/edit?usp=sharing"",""ยะลา!J236"")"),136)</f>
        <v>136</v>
      </c>
      <c r="K341" s="348">
        <f t="shared" ca="1" si="103"/>
        <v>170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4">
        <f ca="1">IFERROR(__xludf.DUMMYFUNCTION("IMPORTRANGE(""https://docs.google.com/spreadsheets/d/1IYY_tgx_IHuhSq3AJ5eI5OnqOPBNLWSHKh2a30DoXe8/edit?usp=sharing"",""ยะลา!J237"")"),830.38)</f>
        <v>830.38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IFERROR(__xludf.DUMMYFUNCTION("IMPORTRANGE(""https://docs.google.com/spreadsheets/d/1IYY_tgx_IHuhSq3AJ5eI5OnqOPBNLWSHKh2a30DoXe8/edit?usp=sharing"",""ยะลา!I238"")"),80)</f>
        <v>80</v>
      </c>
      <c r="J343" s="194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4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IFERROR(__xludf.DUMMYFUNCTION("IMPORTRANGE(""https://docs.google.com/spreadsheets/d/1IYY_tgx_IHuhSq3AJ5eI5OnqOPBNLWSHKh2a30DoXe8/edit?usp=sharing"",""ยะลา!I240"")"),80)</f>
        <v>80</v>
      </c>
      <c r="J345" s="194">
        <f ca="1">IFERROR(__xludf.DUMMYFUNCTION("IMPORTRANGE(""https://docs.google.com/spreadsheets/d/1IYY_tgx_IHuhSq3AJ5eI5OnqOPBNLWSHKh2a30DoXe8/edit?usp=sharing"",""ยะลา!J240"")"),108)</f>
        <v>108</v>
      </c>
      <c r="K345" s="348">
        <f t="shared" ca="1" si="103"/>
        <v>135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4">
        <f ca="1">IFERROR(__xludf.DUMMYFUNCTION("IMPORTRANGE(""https://docs.google.com/spreadsheets/d/1IYY_tgx_IHuhSq3AJ5eI5OnqOPBNLWSHKh2a30DoXe8/edit?usp=sharing"",""ยะลา!J241"")"),745.47)</f>
        <v>745.47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IFERROR(__xludf.DUMMYFUNCTION("IMPORTRANGE(""https://docs.google.com/spreadsheets/d/1IYY_tgx_IHuhSq3AJ5eI5OnqOPBNLWSHKh2a30DoXe8/edit?usp=sharing"",""ยะลา!L242"")"),610667)</f>
        <v>610667</v>
      </c>
      <c r="M347" s="364"/>
      <c r="N347" s="364">
        <f ca="1">IFERROR(__xludf.DUMMYFUNCTION("IMPORTRANGE(""https://docs.google.com/spreadsheets/d/1IYY_tgx_IHuhSq3AJ5eI5OnqOPBNLWSHKh2a30DoXe8/edit?usp=sharing"",""ยะลา!M242"")"),521867.95)</f>
        <v>521867.95</v>
      </c>
      <c r="O347" s="364">
        <f ca="1">+IF(L347&gt;0,N347*100/L347,0)</f>
        <v>85.458678788930797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IFERROR(__xludf.DUMMYFUNCTION("IMPORTRANGE(""https://docs.google.com/spreadsheets/d/1IYY_tgx_IHuhSq3AJ5eI5OnqOPBNLWSHKh2a30DoXe8/edit?usp=sharing"",""ยะลา!L246"")"),0)</f>
        <v>0</v>
      </c>
      <c r="M351" s="168"/>
      <c r="N351" s="168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8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IFERROR(__xludf.DUMMYFUNCTION("IMPORTRANGE(""https://docs.google.com/spreadsheets/d/1IYY_tgx_IHuhSq3AJ5eI5OnqOPBNLWSHKh2a30DoXe8/edit?usp=sharing"",""ยะลา!L248"")"),0)</f>
        <v>0</v>
      </c>
      <c r="M353" s="175"/>
      <c r="N353" s="175">
        <f ca="1">IFERROR(__xludf.DUMMYFUNCTION("IMPORTRANGE(""https://docs.google.com/spreadsheets/d/1IYY_tgx_IHuhSq3AJ5eI5OnqOPBNLWSHKh2a30DoXe8/edit?usp=sharing"",""ยะลา!M248"")"),0)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IFERROR(__xludf.DUMMYFUNCTION("IMPORTRANGE(""https://docs.google.com/spreadsheets/d/1IYY_tgx_IHuhSq3AJ5eI5OnqOPBNLWSHKh2a30DoXe8/edit?usp=sharing"",""ยะลา!L249"")"),0)</f>
        <v>0</v>
      </c>
      <c r="M354" s="175"/>
      <c r="N354" s="172">
        <f ca="1">IFERROR(__xludf.DUMMYFUNCTION("IMPORTRANGE(""https://docs.google.com/spreadsheets/d/1IYY_tgx_IHuhSq3AJ5eI5OnqOPBNLWSHKh2a30DoXe8/edit?usp=sharing"",""ยะลา!M249"")"),0)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IFERROR(__xludf.DUMMYFUNCTION("IMPORTRANGE(""https://docs.google.com/spreadsheets/d/1IYY_tgx_IHuhSq3AJ5eI5OnqOPBNLWSHKh2a30DoXe8/edit?usp=sharing"",""ยะลา!J255"")"),0)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IFERROR(__xludf.DUMMYFUNCTION("IMPORTRANGE(""https://docs.google.com/spreadsheets/d/1IYY_tgx_IHuhSq3AJ5eI5OnqOPBNLWSHKh2a30DoXe8/edit?usp=sharing"",""ยะลา!J256"")"),0)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IFERROR(__xludf.DUMMYFUNCTION("IMPORTRANGE(""https://docs.google.com/spreadsheets/d/1IYY_tgx_IHuhSq3AJ5eI5OnqOPBNLWSHKh2a30DoXe8/edit?usp=sharing"",""ยะลา!J257"")"),0)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IFERROR(__xludf.DUMMYFUNCTION("IMPORTRANGE(""https://docs.google.com/spreadsheets/d/1IYY_tgx_IHuhSq3AJ5eI5OnqOPBNLWSHKh2a30DoXe8/edit?usp=sharing"",""ยะลา!J258"")"),0)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IFERROR(__xludf.DUMMYFUNCTION("IMPORTRANGE(""https://docs.google.com/spreadsheets/d/1IYY_tgx_IHuhSq3AJ5eI5OnqOPBNLWSHKh2a30DoXe8/edit?usp=sharing"",""ยะลา!J166"")"),0)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IFERROR(__xludf.DUMMYFUNCTION("IMPORTRANGE(""https://docs.google.com/spreadsheets/d/1IYY_tgx_IHuhSq3AJ5eI5OnqOPBNLWSHKh2a30DoXe8/edit?usp=sharing"",""ยะลา!J166"")"),0)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IFERROR(__xludf.DUMMYFUNCTION("IMPORTRANGE(""https://docs.google.com/spreadsheets/d/1IYY_tgx_IHuhSq3AJ5eI5OnqOPBNLWSHKh2a30DoXe8/edit?usp=sharing"",""ยะลา!J166"")"),0)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IFERROR(__xludf.DUMMYFUNCTION("IMPORTRANGE(""https://docs.google.com/spreadsheets/d/1IYY_tgx_IHuhSq3AJ5eI5OnqOPBNLWSHKh2a30DoXe8/edit?usp=sharing"",""ยะลา!J166"")"),0)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IFERROR(__xludf.DUMMYFUNCTION("IMPORTRANGE(""https://docs.google.com/spreadsheets/d/1IYY_tgx_IHuhSq3AJ5eI5OnqOPBNLWSHKh2a30DoXe8/edit?usp=sharing"",""ยะลา!I263"")"),0)</f>
        <v>0</v>
      </c>
      <c r="J368" s="194">
        <f ca="1">IFERROR(__xludf.DUMMYFUNCTION("IMPORTRANGE(""https://docs.google.com/spreadsheets/d/1IYY_tgx_IHuhSq3AJ5eI5OnqOPBNLWSHKh2a30DoXe8/edit?usp=sharing"",""ยะลา!J263"")"),0)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IFERROR(__xludf.DUMMYFUNCTION("IMPORTRANGE(""https://docs.google.com/spreadsheets/d/1IYY_tgx_IHuhSq3AJ5eI5OnqOPBNLWSHKh2a30DoXe8/edit?usp=sharing"",""ยะลา!I164"")"),0)</f>
        <v>0</v>
      </c>
      <c r="J369" s="210">
        <f ca="1">IFERROR(__xludf.DUMMYFUNCTION("IMPORTRANGE(""https://docs.google.com/spreadsheets/d/1IYY_tgx_IHuhSq3AJ5eI5OnqOPBNLWSHKh2a30DoXe8/edit?usp=sharing"",""ยะลา!J164"")"),0)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IFERROR(__xludf.DUMMYFUNCTION("IMPORTRANGE(""https://docs.google.com/spreadsheets/d/1IYY_tgx_IHuhSq3AJ5eI5OnqOPBNLWSHKh2a30DoXe8/edit?usp=sharing"",""ยะลา!I265"")"),0)</f>
        <v>0</v>
      </c>
      <c r="J370" s="210">
        <f ca="1">IFERROR(__xludf.DUMMYFUNCTION("IMPORTRANGE(""https://docs.google.com/spreadsheets/d/1IYY_tgx_IHuhSq3AJ5eI5OnqOPBNLWSHKh2a30DoXe8/edit?usp=sharing"",""ยะลา!J265"")"),0)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IFERROR(__xludf.DUMMYFUNCTION("IMPORTRANGE(""https://docs.google.com/spreadsheets/d/1IYY_tgx_IHuhSq3AJ5eI5OnqOPBNLWSHKh2a30DoXe8/edit?usp=sharing"",""ยะลา!I164"")"),0)</f>
        <v>0</v>
      </c>
      <c r="J371" s="195">
        <f ca="1">IFERROR(__xludf.DUMMYFUNCTION("IMPORTRANGE(""https://docs.google.com/spreadsheets/d/1IYY_tgx_IHuhSq3AJ5eI5OnqOPBNLWSHKh2a30DoXe8/edit?usp=sharing"",""ยะลา!J164"")"),0)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IFERROR(__xludf.DUMMYFUNCTION("IMPORTRANGE(""https://docs.google.com/spreadsheets/d/1IYY_tgx_IHuhSq3AJ5eI5OnqOPBNLWSHKh2a30DoXe8/edit?usp=sharing"",""ยะลา!I267"")"),0)</f>
        <v>0</v>
      </c>
      <c r="J372" s="195">
        <f ca="1">IFERROR(__xludf.DUMMYFUNCTION("IMPORTRANGE(""https://docs.google.com/spreadsheets/d/1IYY_tgx_IHuhSq3AJ5eI5OnqOPBNLWSHKh2a30DoXe8/edit?usp=sharing"",""ยะลา!J267"")"),0)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IFERROR(__xludf.DUMMYFUNCTION("IMPORTRANGE(""https://docs.google.com/spreadsheets/d/1IYY_tgx_IHuhSq3AJ5eI5OnqOPBNLWSHKh2a30DoXe8/edit?usp=sharing"",""ยะลา!I164"")"),0)</f>
        <v>0</v>
      </c>
      <c r="J373" s="210">
        <f ca="1">IFERROR(__xludf.DUMMYFUNCTION("IMPORTRANGE(""https://docs.google.com/spreadsheets/d/1IYY_tgx_IHuhSq3AJ5eI5OnqOPBNLWSHKh2a30DoXe8/edit?usp=sharing"",""ยะลา!J164"")"),0)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IFERROR(__xludf.DUMMYFUNCTION("IMPORTRANGE(""https://docs.google.com/spreadsheets/d/1IYY_tgx_IHuhSq3AJ5eI5OnqOPBNLWSHKh2a30DoXe8/edit?usp=sharing"",""ยะลา!I164"")"),0)</f>
        <v>0</v>
      </c>
      <c r="J374" s="194">
        <f ca="1">IFERROR(__xludf.DUMMYFUNCTION("IMPORTRANGE(""https://docs.google.com/spreadsheets/d/1IYY_tgx_IHuhSq3AJ5eI5OnqOPBNLWSHKh2a30DoXe8/edit?usp=sharing"",""ยะลา!J164"")"),0)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IFERROR(__xludf.DUMMYFUNCTION("IMPORTRANGE(""https://docs.google.com/spreadsheets/d/1IYY_tgx_IHuhSq3AJ5eI5OnqOPBNLWSHKh2a30DoXe8/edit?usp=sharing"",""ยะลา!I270"")"),0)</f>
        <v>0</v>
      </c>
      <c r="J375" s="194">
        <f ca="1">IFERROR(__xludf.DUMMYFUNCTION("IMPORTRANGE(""https://docs.google.com/spreadsheets/d/1IYY_tgx_IHuhSq3AJ5eI5OnqOPBNLWSHKh2a30DoXe8/edit?usp=sharing"",""ยะลา!J270"")"),0)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IFERROR(__xludf.DUMMYFUNCTION("IMPORTRANGE(""https://docs.google.com/spreadsheets/d/1IYY_tgx_IHuhSq3AJ5eI5OnqOPBNLWSHKh2a30DoXe8/edit?usp=sharing"",""ยะลา!I271"")"),0)</f>
        <v>0</v>
      </c>
      <c r="J376" s="195">
        <f ca="1">IFERROR(__xludf.DUMMYFUNCTION("IMPORTRANGE(""https://docs.google.com/spreadsheets/d/1IYY_tgx_IHuhSq3AJ5eI5OnqOPBNLWSHKh2a30DoXe8/edit?usp=sharing"",""ยะลา!J271"")"),0)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IFERROR(__xludf.DUMMYFUNCTION("IMPORTRANGE(""https://docs.google.com/spreadsheets/d/1IYY_tgx_IHuhSq3AJ5eI5OnqOPBNLWSHKh2a30DoXe8/edit?usp=sharing"",""ยะลา!I272"")"),0)</f>
        <v>0</v>
      </c>
      <c r="J377" s="210">
        <f ca="1">IFERROR(__xludf.DUMMYFUNCTION("IMPORTRANGE(""https://docs.google.com/spreadsheets/d/1IYY_tgx_IHuhSq3AJ5eI5OnqOPBNLWSHKh2a30DoXe8/edit?usp=sharing"",""ยะลา!J272"")"),0)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IFERROR(__xludf.DUMMYFUNCTION("IMPORTRANGE(""https://docs.google.com/spreadsheets/d/1IYY_tgx_IHuhSq3AJ5eI5OnqOPBNLWSHKh2a30DoXe8/edit?usp=sharing"",""ยะลา!J273"")"),0)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IFERROR(__xludf.DUMMYFUNCTION("IMPORTRANGE(""https://docs.google.com/spreadsheets/d/1IYY_tgx_IHuhSq3AJ5eI5OnqOPBNLWSHKh2a30DoXe8/edit?usp=sharing"",""ยะลา!J274"")"),0)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IFERROR(__xludf.DUMMYFUNCTION("IMPORTRANGE(""https://docs.google.com/spreadsheets/d/1IYY_tgx_IHuhSq3AJ5eI5OnqOPBNLWSHKh2a30DoXe8/edit?usp=sharing"",""ยะลา!M275"")"),167610)</f>
        <v>167610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IFERROR(__xludf.DUMMYFUNCTION("IMPORTRANGE(""https://docs.google.com/spreadsheets/d/1IYY_tgx_IHuhSq3AJ5eI5OnqOPBNLWSHKh2a30DoXe8/edit?usp=sharing"",""ยะลา!L277"")"),0)</f>
        <v>0</v>
      </c>
      <c r="M382" s="168"/>
      <c r="N382" s="168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IFERROR(__xludf.DUMMYFUNCTION("IMPORTRANGE(""https://docs.google.com/spreadsheets/d/1IYY_tgx_IHuhSq3AJ5eI5OnqOPBNLWSHKh2a30DoXe8/edit?usp=sharing"",""ยะลา!M278"")"),167610)</f>
        <v>167610</v>
      </c>
      <c r="O383" s="169">
        <f t="shared" ca="1" si="109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IFERROR(__xludf.DUMMYFUNCTION("IMPORTRANGE(""https://docs.google.com/spreadsheets/d/1IYY_tgx_IHuhSq3AJ5eI5OnqOPBNLWSHKh2a30DoXe8/edit?usp=sharing"",""ยะลา!L279"")"),0)</f>
        <v>0</v>
      </c>
      <c r="M384" s="175"/>
      <c r="N384" s="175">
        <f ca="1">IFERROR(__xludf.DUMMYFUNCTION("IMPORTRANGE(""https://docs.google.com/spreadsheets/d/1IYY_tgx_IHuhSq3AJ5eI5OnqOPBNLWSHKh2a30DoXe8/edit?usp=sharing"",""ยะลา!M279"")"),0)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IFERROR(__xludf.DUMMYFUNCTION("IMPORTRANGE(""https://docs.google.com/spreadsheets/d/1IYY_tgx_IHuhSq3AJ5eI5OnqOPBNLWSHKh2a30DoXe8/edit?usp=sharing"",""ยะลา!L280"")"),167610)</f>
        <v>167610</v>
      </c>
      <c r="M385" s="175"/>
      <c r="N385" s="172">
        <f ca="1">IFERROR(__xludf.DUMMYFUNCTION("IMPORTRANGE(""https://docs.google.com/spreadsheets/d/1IYY_tgx_IHuhSq3AJ5eI5OnqOPBNLWSHKh2a30DoXe8/edit?usp=sharing"",""ยะลา!M280"")"),167610)</f>
        <v>167610</v>
      </c>
      <c r="O385" s="175">
        <f t="shared" ca="1" si="109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IFERROR(__xludf.DUMMYFUNCTION("IMPORTRANGE(""https://docs.google.com/spreadsheets/d/1IYY_tgx_IHuhSq3AJ5eI5OnqOPBNLWSHKh2a30DoXe8/edit?usp=sharing"",""ยะลา!M281"")"),45080)</f>
        <v>45080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IFERROR(__xludf.DUMMYFUNCTION("IMPORTRANGE(""https://docs.google.com/spreadsheets/d/1IYY_tgx_IHuhSq3AJ5eI5OnqOPBNLWSHKh2a30DoXe8/edit?usp=sharing"",""ยะลา!M282"")"),88600)</f>
        <v>88600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IFERROR(__xludf.DUMMYFUNCTION("IMPORTRANGE(""https://docs.google.com/spreadsheets/d/1IYY_tgx_IHuhSq3AJ5eI5OnqOPBNLWSHKh2a30DoXe8/edit?usp=sharing"",""ยะลา!M284"")"),33930)</f>
        <v>33930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IFERROR(__xludf.DUMMYFUNCTION("IMPORTRANGE(""https://docs.google.com/spreadsheets/d/1IYY_tgx_IHuhSq3AJ5eI5OnqOPBNLWSHKh2a30DoXe8/edit?usp=sharing"",""ยะลา!J286"")"),0)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IFERROR(__xludf.DUMMYFUNCTION("IMPORTRANGE(""https://docs.google.com/spreadsheets/d/1IYY_tgx_IHuhSq3AJ5eI5OnqOPBNLWSHKh2a30DoXe8/edit?usp=sharing"",""ยะลา!J287"")"),1)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IFERROR(__xludf.DUMMYFUNCTION("IMPORTRANGE(""https://docs.google.com/spreadsheets/d/1IYY_tgx_IHuhSq3AJ5eI5OnqOPBNLWSHKh2a30DoXe8/edit?usp=sharing"",""ยะลา!J288"")"),1)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IFERROR(__xludf.DUMMYFUNCTION("IMPORTRANGE(""https://docs.google.com/spreadsheets/d/1IYY_tgx_IHuhSq3AJ5eI5OnqOPBNLWSHKh2a30DoXe8/edit?usp=sharing"",""ยะลา!J289"")"),1)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IFERROR(__xludf.DUMMYFUNCTION("IMPORTRANGE(""https://docs.google.com/spreadsheets/d/1IYY_tgx_IHuhSq3AJ5eI5OnqOPBNLWSHKh2a30DoXe8/edit?usp=sharing"",""ยะลา!I291"")"),15)</f>
        <v>15</v>
      </c>
      <c r="J396" s="204">
        <f ca="1">IFERROR(__xludf.DUMMYFUNCTION("IMPORTRANGE(""https://docs.google.com/spreadsheets/d/1IYY_tgx_IHuhSq3AJ5eI5OnqOPBNLWSHKh2a30DoXe8/edit?usp=sharing"",""ยะลา!J291"")"),15)</f>
        <v>15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IFERROR(__xludf.DUMMYFUNCTION("IMPORTRANGE(""https://docs.google.com/spreadsheets/d/1IYY_tgx_IHuhSq3AJ5eI5OnqOPBNLWSHKh2a30DoXe8/edit?usp=sharing"",""ยะลา!I292"")"),150)</f>
        <v>150</v>
      </c>
      <c r="J397" s="204">
        <f ca="1">IFERROR(__xludf.DUMMYFUNCTION("IMPORTRANGE(""https://docs.google.com/spreadsheets/d/1IYY_tgx_IHuhSq3AJ5eI5OnqOPBNLWSHKh2a30DoXe8/edit?usp=sharing"",""ยะลา!J292"")"),150)</f>
        <v>150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IFERROR(__xludf.DUMMYFUNCTION("IMPORTRANGE(""https://docs.google.com/spreadsheets/d/1IYY_tgx_IHuhSq3AJ5eI5OnqOPBNLWSHKh2a30DoXe8/edit?usp=sharing"",""ยะลา!I293"")"),15)</f>
        <v>15</v>
      </c>
      <c r="J398" s="204">
        <f ca="1">IFERROR(__xludf.DUMMYFUNCTION("IMPORTRANGE(""https://docs.google.com/spreadsheets/d/1IYY_tgx_IHuhSq3AJ5eI5OnqOPBNLWSHKh2a30DoXe8/edit?usp=sharing"",""ยะลา!J293"")"),15)</f>
        <v>15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IFERROR(__xludf.DUMMYFUNCTION("IMPORTRANGE(""https://docs.google.com/spreadsheets/d/1IYY_tgx_IHuhSq3AJ5eI5OnqOPBNLWSHKh2a30DoXe8/edit?usp=sharing"",""ยะลา!J294"")"),0)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IFERROR(__xludf.DUMMYFUNCTION("IMPORTRANGE(""https://docs.google.com/spreadsheets/d/1IYY_tgx_IHuhSq3AJ5eI5OnqOPBNLWSHKh2a30DoXe8/edit?usp=sharing"",""ยะลา!J295"")"),0)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IFERROR(__xludf.DUMMYFUNCTION("IMPORTRANGE(""https://docs.google.com/spreadsheets/d/1IYY_tgx_IHuhSq3AJ5eI5OnqOPBNLWSHKh2a30DoXe8/edit?usp=sharing"",""ยะลา!M296"")"),121930)</f>
        <v>121930</v>
      </c>
      <c r="O401" s="379">
        <f ca="1">+IF(L401&gt;0,N401*100/L401,0)</f>
        <v>92.574595702680128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IFERROR(__xludf.DUMMYFUNCTION("IMPORTRANGE(""https://docs.google.com/spreadsheets/d/1IYY_tgx_IHuhSq3AJ5eI5OnqOPBNLWSHKh2a30DoXe8/edit?usp=sharing"",""ยะลา!L298"")"),0)</f>
        <v>0</v>
      </c>
      <c r="M403" s="168"/>
      <c r="N403" s="175">
        <f ca="1">IFERROR(__xludf.DUMMYFUNCTION("IMPORTRANGE(""https://docs.google.com/spreadsheets/d/1IYY_tgx_IHuhSq3AJ5eI5OnqOPBNLWSHKh2a30DoXe8/edit?usp=sharing"",""ยะลา!M298"")"),0)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IFERROR(__xludf.DUMMYFUNCTION("IMPORTRANGE(""https://docs.google.com/spreadsheets/d/1IYY_tgx_IHuhSq3AJ5eI5OnqOPBNLWSHKh2a30DoXe8/edit?usp=sharing"",""ยะลา!M299"")"),121930)</f>
        <v>121930</v>
      </c>
      <c r="O404" s="175">
        <f t="shared" ca="1" si="112"/>
        <v>92.574595702680128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IFERROR(__xludf.DUMMYFUNCTION("IMPORTRANGE(""https://docs.google.com/spreadsheets/d/1IYY_tgx_IHuhSq3AJ5eI5OnqOPBNLWSHKh2a30DoXe8/edit?usp=sharing"",""ยะลา!L300"")"),0)</f>
        <v>0</v>
      </c>
      <c r="M405" s="175"/>
      <c r="N405" s="175">
        <f ca="1">IFERROR(__xludf.DUMMYFUNCTION("IMPORTRANGE(""https://docs.google.com/spreadsheets/d/1IYY_tgx_IHuhSq3AJ5eI5OnqOPBNLWSHKh2a30DoXe8/edit?usp=sharing"",""ยะลา!M300"")"),0)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IFERROR(__xludf.DUMMYFUNCTION("IMPORTRANGE(""https://docs.google.com/spreadsheets/d/1IYY_tgx_IHuhSq3AJ5eI5OnqOPBNLWSHKh2a30DoXe8/edit?usp=sharing"",""ยะลา!L301"")"),131710)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IFERROR(__xludf.DUMMYFUNCTION("IMPORTRANGE(""https://docs.google.com/spreadsheets/d/1IYY_tgx_IHuhSq3AJ5eI5OnqOPBNLWSHKh2a30DoXe8/edit?usp=sharing"",""ยะลา!M301"")"),121930)</f>
        <v>121930</v>
      </c>
      <c r="O406" s="175">
        <f t="shared" ca="1" si="112"/>
        <v>92.574595702680128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IFERROR(__xludf.DUMMYFUNCTION("IMPORTRANGE(""https://docs.google.com/spreadsheets/d/1IYY_tgx_IHuhSq3AJ5eI5OnqOPBNLWSHKh2a30DoXe8/edit?usp=sharing"",""ยะลา!M302"")"),78850)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IFERROR(__xludf.DUMMYFUNCTION("IMPORTRANGE(""https://docs.google.com/spreadsheets/d/1IYY_tgx_IHuhSq3AJ5eI5OnqOPBNLWSHKh2a30DoXe8/edit?usp=sharing"",""ยะลา!M303"")"),25500)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IFERROR(__xludf.DUMMYFUNCTION("IMPORTRANGE(""https://docs.google.com/spreadsheets/d/1IYY_tgx_IHuhSq3AJ5eI5OnqOPBNLWSHKh2a30DoXe8/edit?usp=sharing"",""ยะลา!M305"")"),17580)</f>
        <v>17580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IFERROR(__xludf.DUMMYFUNCTION("IMPORTRANGE(""https://docs.google.com/spreadsheets/d/1IYY_tgx_IHuhSq3AJ5eI5OnqOPBNLWSHKh2a30DoXe8/edit?usp=sharing"",""ยะลา!J307"")"),0)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IFERROR(__xludf.DUMMYFUNCTION("IMPORTRANGE(""https://docs.google.com/spreadsheets/d/1IYY_tgx_IHuhSq3AJ5eI5OnqOPBNLWSHKh2a30DoXe8/edit?usp=sharing"",""ยะลา!J308"")"),1)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IFERROR(__xludf.DUMMYFUNCTION("IMPORTRANGE(""https://docs.google.com/spreadsheets/d/1IYY_tgx_IHuhSq3AJ5eI5OnqOPBNLWSHKh2a30DoXe8/edit?usp=sharing"",""ยะลา!J309"")"),1)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IFERROR(__xludf.DUMMYFUNCTION("IMPORTRANGE(""https://docs.google.com/spreadsheets/d/1IYY_tgx_IHuhSq3AJ5eI5OnqOPBNLWSHKh2a30DoXe8/edit?usp=sharing"",""ยะลา!J310"")"),1)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IFERROR(__xludf.DUMMYFUNCTION("IMPORTRANGE(""https://docs.google.com/spreadsheets/d/1IYY_tgx_IHuhSq3AJ5eI5OnqOPBNLWSHKh2a30DoXe8/edit?usp=sharing"",""ยะลา!I311"")"),35)</f>
        <v>35</v>
      </c>
      <c r="J416" s="207">
        <f ca="1">IFERROR(__xludf.DUMMYFUNCTION("IMPORTRANGE(""https://docs.google.com/spreadsheets/d/1IYY_tgx_IHuhSq3AJ5eI5OnqOPBNLWSHKh2a30DoXe8/edit?usp=sharing"",""ยะลา!J311"")"),35)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IFERROR(__xludf.DUMMYFUNCTION("IMPORTRANGE(""https://docs.google.com/spreadsheets/d/1IYY_tgx_IHuhSq3AJ5eI5OnqOPBNLWSHKh2a30DoXe8/edit?usp=sharing"",""ยะลา!J328"")"),0)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IFERROR(__xludf.DUMMYFUNCTION("IMPORTRANGE(""https://docs.google.com/spreadsheets/d/1IYY_tgx_IHuhSq3AJ5eI5OnqOPBNLWSHKh2a30DoXe8/edit?usp=sharing"",""ยะลา!J329"")"),0)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IFERROR(__xludf.DUMMYFUNCTION("IMPORTRANGE(""https://docs.google.com/spreadsheets/d/1IYY_tgx_IHuhSq3AJ5eI5OnqOPBNLWSHKh2a30DoXe8/edit?usp=sharing"",""ยะลา!L331"")"),0)</f>
        <v>0</v>
      </c>
      <c r="M436" s="168"/>
      <c r="N436" s="175">
        <f ca="1">IFERROR(__xludf.DUMMYFUNCTION("IMPORTRANGE(""https://docs.google.com/spreadsheets/d/1IYY_tgx_IHuhSq3AJ5eI5OnqOPBNLWSHKh2a30DoXe8/edit?usp=sharing"",""ยะลา!M331"")"),0)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IFERROR(__xludf.DUMMYFUNCTION("IMPORTRANGE(""https://docs.google.com/spreadsheets/d/1IYY_tgx_IHuhSq3AJ5eI5OnqOPBNLWSHKh2a30DoXe8/edit?usp=sharing"",""ยะลา!L332"")"),76000)</f>
        <v>76000</v>
      </c>
      <c r="M437" s="169"/>
      <c r="N437" s="175">
        <f ca="1">IFERROR(__xludf.DUMMYFUNCTION("IMPORTRANGE(""https://docs.google.com/spreadsheets/d/1IYY_tgx_IHuhSq3AJ5eI5OnqOPBNLWSHKh2a30DoXe8/edit?usp=sharing"",""ยะลา!M332"")"),76000)</f>
        <v>76000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IFERROR(__xludf.DUMMYFUNCTION("IMPORTRANGE(""https://docs.google.com/spreadsheets/d/1IYY_tgx_IHuhSq3AJ5eI5OnqOPBNLWSHKh2a30DoXe8/edit?usp=sharing"",""ยะลา!L333"")"),0)</f>
        <v>0</v>
      </c>
      <c r="M438" s="175"/>
      <c r="N438" s="175">
        <f ca="1">IFERROR(__xludf.DUMMYFUNCTION("IMPORTRANGE(""https://docs.google.com/spreadsheets/d/1IYY_tgx_IHuhSq3AJ5eI5OnqOPBNLWSHKh2a30DoXe8/edit?usp=sharing"",""ยะลา!M333"")"),0)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IFERROR(__xludf.DUMMYFUNCTION("IMPORTRANGE(""https://docs.google.com/spreadsheets/d/1IYY_tgx_IHuhSq3AJ5eI5OnqOPBNLWSHKh2a30DoXe8/edit?usp=sharing"",""ยะลา!L334"")"),76000)</f>
        <v>76000</v>
      </c>
      <c r="M439" s="175"/>
      <c r="N439" s="175">
        <f ca="1">IFERROR(__xludf.DUMMYFUNCTION("IMPORTRANGE(""https://docs.google.com/spreadsheets/d/1IYY_tgx_IHuhSq3AJ5eI5OnqOPBNLWSHKh2a30DoXe8/edit?usp=sharing"",""ยะลา!M334"")"),76000)</f>
        <v>76000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IFERROR(__xludf.DUMMYFUNCTION("IMPORTRANGE(""https://docs.google.com/spreadsheets/d/1IYY_tgx_IHuhSq3AJ5eI5OnqOPBNLWSHKh2a30DoXe8/edit?usp=sharing"",""ยะลา!M335"")"),27545)</f>
        <v>27545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IFERROR(__xludf.DUMMYFUNCTION("IMPORTRANGE(""https://docs.google.com/spreadsheets/d/1IYY_tgx_IHuhSq3AJ5eI5OnqOPBNLWSHKh2a30DoXe8/edit?usp=sharing"",""ยะลา!M338"")"),48455)</f>
        <v>48455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IFERROR(__xludf.DUMMYFUNCTION("IMPORTRANGE(""https://docs.google.com/spreadsheets/d/1IYY_tgx_IHuhSq3AJ5eI5OnqOPBNLWSHKh2a30DoXe8/edit?usp=sharing"",""ยะลา!J340"")"),0)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IFERROR(__xludf.DUMMYFUNCTION("IMPORTRANGE(""https://docs.google.com/spreadsheets/d/1IYY_tgx_IHuhSq3AJ5eI5OnqOPBNLWSHKh2a30DoXe8/edit?usp=sharing"",""ยะลา!J341"")"),1)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IFERROR(__xludf.DUMMYFUNCTION("IMPORTRANGE(""https://docs.google.com/spreadsheets/d/1IYY_tgx_IHuhSq3AJ5eI5OnqOPBNLWSHKh2a30DoXe8/edit?usp=sharing"",""ยะลา!J342"")"),1)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IFERROR(__xludf.DUMMYFUNCTION("IMPORTRANGE(""https://docs.google.com/spreadsheets/d/1IYY_tgx_IHuhSq3AJ5eI5OnqOPBNLWSHKh2a30DoXe8/edit?usp=sharing"",""ยะลา!J343"")"),1)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7">
        <f ca="1">IFERROR(__xludf.DUMMYFUNCTION("IMPORTRANGE(""https://docs.google.com/spreadsheets/d/1IYY_tgx_IHuhSq3AJ5eI5OnqOPBNLWSHKh2a30DoXe8/edit?usp=sharing"",""ยะลา!J344"")"),10)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5">
        <f ca="1">IFERROR(__xludf.DUMMYFUNCTION("IMPORTRANGE(""https://docs.google.com/spreadsheets/d/1IYY_tgx_IHuhSq3AJ5eI5OnqOPBNLWSHKh2a30DoXe8/edit?usp=sharing"",""ยะลา!J345"")"),10)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4">
        <f ca="1">IFERROR(__xludf.DUMMYFUNCTION("IMPORTRANGE(""https://docs.google.com/spreadsheets/d/1IYY_tgx_IHuhSq3AJ5eI5OnqOPBNLWSHKh2a30DoXe8/edit?usp=sharing"",""ยะลา!J346"")"),0)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IFERROR(__xludf.DUMMYFUNCTION("IMPORTRANGE(""https://docs.google.com/spreadsheets/d/1IYY_tgx_IHuhSq3AJ5eI5OnqOPBNLWSHKh2a30DoXe8/edit?usp=sharing"",""ยะลา!I347"")"),0)</f>
        <v>0</v>
      </c>
      <c r="J452" s="194">
        <f ca="1">IFERROR(__xludf.DUMMYFUNCTION("IMPORTRANGE(""https://docs.google.com/spreadsheets/d/1IYY_tgx_IHuhSq3AJ5eI5OnqOPBNLWSHKh2a30DoXe8/edit?usp=sharing"",""ยะลา!J347"")"),0)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IFERROR(__xludf.DUMMYFUNCTION("IMPORTRANGE(""https://docs.google.com/spreadsheets/d/1IYY_tgx_IHuhSq3AJ5eI5OnqOPBNLWSHKh2a30DoXe8/edit?usp=sharing"",""ยะลา!J348"")"),0)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IFERROR(__xludf.DUMMYFUNCTION("IMPORTRANGE(""https://docs.google.com/spreadsheets/d/1IYY_tgx_IHuhSq3AJ5eI5OnqOPBNLWSHKh2a30DoXe8/edit?usp=sharing"",""ยะลา!J349"")"),0)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IFERROR(__xludf.DUMMYFUNCTION("IMPORTRANGE(""https://docs.google.com/spreadsheets/d/1IYY_tgx_IHuhSq3AJ5eI5OnqOPBNLWSHKh2a30DoXe8/edit?usp=sharing"",""ยะลา!J350"")"),5391)</f>
        <v>5391</v>
      </c>
      <c r="K455" s="378">
        <f ca="1">IF(I455&gt;0,J455*100/I455,0)</f>
        <v>100.01855287569573</v>
      </c>
      <c r="L455" s="379">
        <f ca="1">IFERROR(__xludf.DUMMYFUNCTION("IMPORTRANGE(""https://docs.google.com/spreadsheets/d/1IYY_tgx_IHuhSq3AJ5eI5OnqOPBNLWSHKh2a30DoXe8/edit?usp=sharing"",""ยะลา!L350"")"),77877)</f>
        <v>77877</v>
      </c>
      <c r="M455" s="379"/>
      <c r="N455" s="379">
        <f ca="1">IFERROR(__xludf.DUMMYFUNCTION("IMPORTRANGE(""https://docs.google.com/spreadsheets/d/1IYY_tgx_IHuhSq3AJ5eI5OnqOPBNLWSHKh2a30DoXe8/edit?usp=sharing"",""ยะลา!M350"")"),55542)</f>
        <v>55542</v>
      </c>
      <c r="O455" s="379">
        <f t="shared" ref="O455:O459" ca="1" si="116">+IF(L455&gt;0,N455*100/L455,0)</f>
        <v>71.320158711814784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IFERROR(__xludf.DUMMYFUNCTION("IMPORTRANGE(""https://docs.google.com/spreadsheets/d/1IYY_tgx_IHuhSq3AJ5eI5OnqOPBNLWSHKh2a30DoXe8/edit?usp=sharing"",""ยะลา!L351"")"),0)</f>
        <v>0</v>
      </c>
      <c r="M456" s="168"/>
      <c r="N456" s="175">
        <f ca="1">IFERROR(__xludf.DUMMYFUNCTION("IMPORTRANGE(""https://docs.google.com/spreadsheets/d/1IYY_tgx_IHuhSq3AJ5eI5OnqOPBNLWSHKh2a30DoXe8/edit?usp=sharing"",""ยะลา!M351"")"),0)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IFERROR(__xludf.DUMMYFUNCTION("IMPORTRANGE(""https://docs.google.com/spreadsheets/d/1IYY_tgx_IHuhSq3AJ5eI5OnqOPBNLWSHKh2a30DoXe8/edit?usp=sharing"",""ยะลา!L352"")"),77877)</f>
        <v>77877</v>
      </c>
      <c r="M457" s="169"/>
      <c r="N457" s="175">
        <f ca="1">IFERROR(__xludf.DUMMYFUNCTION("IMPORTRANGE(""https://docs.google.com/spreadsheets/d/1IYY_tgx_IHuhSq3AJ5eI5OnqOPBNLWSHKh2a30DoXe8/edit?usp=sharing"",""ยะลา!M352"")"),55542)</f>
        <v>55542</v>
      </c>
      <c r="O457" s="175">
        <f t="shared" ca="1" si="116"/>
        <v>71.320158711814784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IFERROR(__xludf.DUMMYFUNCTION("IMPORTRANGE(""https://docs.google.com/spreadsheets/d/1IYY_tgx_IHuhSq3AJ5eI5OnqOPBNLWSHKh2a30DoXe8/edit?usp=sharing"",""ยะลา!L353"")"),0)</f>
        <v>0</v>
      </c>
      <c r="M458" s="175"/>
      <c r="N458" s="175">
        <f ca="1">IFERROR(__xludf.DUMMYFUNCTION("IMPORTRANGE(""https://docs.google.com/spreadsheets/d/1IYY_tgx_IHuhSq3AJ5eI5OnqOPBNLWSHKh2a30DoXe8/edit?usp=sharing"",""ยะลา!M353"")"),0)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IFERROR(__xludf.DUMMYFUNCTION("IMPORTRANGE(""https://docs.google.com/spreadsheets/d/1IYY_tgx_IHuhSq3AJ5eI5OnqOPBNLWSHKh2a30DoXe8/edit?usp=sharing"",""ยะลา!L354"")"),77877)</f>
        <v>77877</v>
      </c>
      <c r="M459" s="175"/>
      <c r="N459" s="175">
        <f ca="1">IFERROR(__xludf.DUMMYFUNCTION("IMPORTRANGE(""https://docs.google.com/spreadsheets/d/1IYY_tgx_IHuhSq3AJ5eI5OnqOPBNLWSHKh2a30DoXe8/edit?usp=sharing"",""ยะลา!M354"")"),55542)</f>
        <v>55542</v>
      </c>
      <c r="O459" s="175">
        <f t="shared" ca="1" si="116"/>
        <v>71.320158711814784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IFERROR(__xludf.DUMMYFUNCTION("IMPORTRANGE(""https://docs.google.com/spreadsheets/d/1IYY_tgx_IHuhSq3AJ5eI5OnqOPBNLWSHKh2a30DoXe8/edit?usp=sharing"",""ยะลา!M355"")"),0)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IFERROR(__xludf.DUMMYFUNCTION("IMPORTRANGE(""https://docs.google.com/spreadsheets/d/1IYY_tgx_IHuhSq3AJ5eI5OnqOPBNLWSHKh2a30DoXe8/edit?usp=sharing"",""ยะลา!M356"")"),0)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IFERROR(__xludf.DUMMYFUNCTION("IMPORTRANGE(""https://docs.google.com/spreadsheets/d/1IYY_tgx_IHuhSq3AJ5eI5OnqOPBNLWSHKh2a30DoXe8/edit?usp=sharing"",""ยะลา!M358"")"),55542)</f>
        <v>55542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IFERROR(__xludf.DUMMYFUNCTION("IMPORTRANGE(""https://docs.google.com/spreadsheets/d/1IYY_tgx_IHuhSq3AJ5eI5OnqOPBNLWSHKh2a30DoXe8/edit?usp=sharing"",""ยะลา!I359"")"),5390)</f>
        <v>5390</v>
      </c>
      <c r="J464" s="273">
        <f ca="1">IFERROR(__xludf.DUMMYFUNCTION("IMPORTRANGE(""https://docs.google.com/spreadsheets/d/1IYY_tgx_IHuhSq3AJ5eI5OnqOPBNLWSHKh2a30DoXe8/edit?usp=sharing"",""ยะลา!J359"")"),5391)</f>
        <v>5391</v>
      </c>
      <c r="K464" s="274">
        <f t="shared" ref="K464:K515" ca="1" si="117">IF(I464&gt;0,J464*100/I464,0)</f>
        <v>100.01855287569573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8">
        <f t="shared" ca="1" si="117"/>
        <v>100.01855287569573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IFERROR(__xludf.DUMMYFUNCTION("IMPORTRANGE(""https://docs.google.com/spreadsheets/d/1IYY_tgx_IHuhSq3AJ5eI5OnqOPBNLWSHKh2a30DoXe8/edit?usp=sharing"",""ยะลา!I362"")"),0)</f>
        <v>0</v>
      </c>
      <c r="J467" s="195">
        <f ca="1">IFERROR(__xludf.DUMMYFUNCTION("IMPORTRANGE(""https://docs.google.com/spreadsheets/d/1IYY_tgx_IHuhSq3AJ5eI5OnqOPBNLWSHKh2a30DoXe8/edit?usp=sharing"",""ยะลา!J362"")"),4970)</f>
        <v>4970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IFERROR(__xludf.DUMMYFUNCTION("IMPORTRANGE(""https://docs.google.com/spreadsheets/d/1IYY_tgx_IHuhSq3AJ5eI5OnqOPBNLWSHKh2a30DoXe8/edit?usp=sharing"",""ยะลา!I363"")"),0)</f>
        <v>0</v>
      </c>
      <c r="J468" s="195">
        <f ca="1">IFERROR(__xludf.DUMMYFUNCTION("IMPORTRANGE(""https://docs.google.com/spreadsheets/d/1IYY_tgx_IHuhSq3AJ5eI5OnqOPBNLWSHKh2a30DoXe8/edit?usp=sharing"",""ยะลา!J363"")"),1290)</f>
        <v>1290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IFERROR(__xludf.DUMMYFUNCTION("IMPORTRANGE(""https://docs.google.com/spreadsheets/d/1IYY_tgx_IHuhSq3AJ5eI5OnqOPBNLWSHKh2a30DoXe8/edit?usp=sharing"",""ยะลา!I364"")"),0)</f>
        <v>0</v>
      </c>
      <c r="J469" s="195">
        <f ca="1">IFERROR(__xludf.DUMMYFUNCTION("IMPORTRANGE(""https://docs.google.com/spreadsheets/d/1IYY_tgx_IHuhSq3AJ5eI5OnqOPBNLWSHKh2a30DoXe8/edit?usp=sharing"",""ยะลา!J364"")"),237)</f>
        <v>237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IFERROR(__xludf.DUMMYFUNCTION("IMPORTRANGE(""https://docs.google.com/spreadsheets/d/1IYY_tgx_IHuhSq3AJ5eI5OnqOPBNLWSHKh2a30DoXe8/edit?usp=sharing"",""ยะลา!I365"")"),0)</f>
        <v>0</v>
      </c>
      <c r="J470" s="195">
        <f ca="1">IFERROR(__xludf.DUMMYFUNCTION("IMPORTRANGE(""https://docs.google.com/spreadsheets/d/1IYY_tgx_IHuhSq3AJ5eI5OnqOPBNLWSHKh2a30DoXe8/edit?usp=sharing"",""ยะลา!J365"")"),32)</f>
        <v>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IFERROR(__xludf.DUMMYFUNCTION("IMPORTRANGE(""https://docs.google.com/spreadsheets/d/1IYY_tgx_IHuhSq3AJ5eI5OnqOPBNLWSHKh2a30DoXe8/edit?usp=sharing"",""ยะลา!I366"")"),0)</f>
        <v>0</v>
      </c>
      <c r="J471" s="195">
        <f ca="1">IFERROR(__xludf.DUMMYFUNCTION("IMPORTRANGE(""https://docs.google.com/spreadsheets/d/1IYY_tgx_IHuhSq3AJ5eI5OnqOPBNLWSHKh2a30DoXe8/edit?usp=sharing"",""ยะลา!J366"")"),184)</f>
        <v>184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IFERROR(__xludf.DUMMYFUNCTION("IMPORTRANGE(""https://docs.google.com/spreadsheets/d/1IYY_tgx_IHuhSq3AJ5eI5OnqOPBNLWSHKh2a30DoXe8/edit?usp=sharing"",""ยะลา!I367"")"),0)</f>
        <v>0</v>
      </c>
      <c r="J472" s="195">
        <f ca="1">IFERROR(__xludf.DUMMYFUNCTION("IMPORTRANGE(""https://docs.google.com/spreadsheets/d/1IYY_tgx_IHuhSq3AJ5eI5OnqOPBNLWSHKh2a30DoXe8/edit?usp=sharing"",""ยะลา!J367"")"),35)</f>
        <v>35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IFERROR(__xludf.DUMMYFUNCTION("IMPORTRANGE(""https://docs.google.com/spreadsheets/d/1IYY_tgx_IHuhSq3AJ5eI5OnqOPBNLWSHKh2a30DoXe8/edit?usp=sharing"",""ยะลา!J368"")"),5391)</f>
        <v>5391</v>
      </c>
      <c r="K473" s="208">
        <f t="shared" ca="1" si="117"/>
        <v>100.01855287569573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IFERROR(__xludf.DUMMYFUNCTION("IMPORTRANGE(""https://docs.google.com/spreadsheets/d/1IYY_tgx_IHuhSq3AJ5eI5OnqOPBNLWSHKh2a30DoXe8/edit?usp=sharing"",""ยะลา!J369"")"),1357)</f>
        <v>1357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IFERROR(__xludf.DUMMYFUNCTION("IMPORTRANGE(""https://docs.google.com/spreadsheets/d/1IYY_tgx_IHuhSq3AJ5eI5OnqOPBNLWSHKh2a30DoXe8/edit?usp=sharing"",""ยะลา!I370"")"),0)</f>
        <v>0</v>
      </c>
      <c r="J475" s="195">
        <f ca="1">IFERROR(__xludf.DUMMYFUNCTION("IMPORTRANGE(""https://docs.google.com/spreadsheets/d/1IYY_tgx_IHuhSq3AJ5eI5OnqOPBNLWSHKh2a30DoXe8/edit?usp=sharing"",""ยะลา!J370"")"),4970)</f>
        <v>4970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IFERROR(__xludf.DUMMYFUNCTION("IMPORTRANGE(""https://docs.google.com/spreadsheets/d/1IYY_tgx_IHuhSq3AJ5eI5OnqOPBNLWSHKh2a30DoXe8/edit?usp=sharing"",""ยะลา!I371"")"),0)</f>
        <v>0</v>
      </c>
      <c r="J476" s="195">
        <f ca="1">IFERROR(__xludf.DUMMYFUNCTION("IMPORTRANGE(""https://docs.google.com/spreadsheets/d/1IYY_tgx_IHuhSq3AJ5eI5OnqOPBNLWSHKh2a30DoXe8/edit?usp=sharing"",""ยะลา!J371"")"),1290)</f>
        <v>1290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IFERROR(__xludf.DUMMYFUNCTION("IMPORTRANGE(""https://docs.google.com/spreadsheets/d/1IYY_tgx_IHuhSq3AJ5eI5OnqOPBNLWSHKh2a30DoXe8/edit?usp=sharing"",""ยะลา!I372"")"),0)</f>
        <v>0</v>
      </c>
      <c r="J477" s="195">
        <f ca="1">IFERROR(__xludf.DUMMYFUNCTION("IMPORTRANGE(""https://docs.google.com/spreadsheets/d/1IYY_tgx_IHuhSq3AJ5eI5OnqOPBNLWSHKh2a30DoXe8/edit?usp=sharing"",""ยะลา!J372"")"),237)</f>
        <v>237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IFERROR(__xludf.DUMMYFUNCTION("IMPORTRANGE(""https://docs.google.com/spreadsheets/d/1IYY_tgx_IHuhSq3AJ5eI5OnqOPBNLWSHKh2a30DoXe8/edit?usp=sharing"",""ยะลา!I373"")"),0)</f>
        <v>0</v>
      </c>
      <c r="J478" s="195">
        <f ca="1">IFERROR(__xludf.DUMMYFUNCTION("IMPORTRANGE(""https://docs.google.com/spreadsheets/d/1IYY_tgx_IHuhSq3AJ5eI5OnqOPBNLWSHKh2a30DoXe8/edit?usp=sharing"",""ยะลา!J373"")"),32)</f>
        <v>32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IFERROR(__xludf.DUMMYFUNCTION("IMPORTRANGE(""https://docs.google.com/spreadsheets/d/1IYY_tgx_IHuhSq3AJ5eI5OnqOPBNLWSHKh2a30DoXe8/edit?usp=sharing"",""ยะลา!I374"")"),0)</f>
        <v>0</v>
      </c>
      <c r="J479" s="195">
        <f ca="1">IFERROR(__xludf.DUMMYFUNCTION("IMPORTRANGE(""https://docs.google.com/spreadsheets/d/1IYY_tgx_IHuhSq3AJ5eI5OnqOPBNLWSHKh2a30DoXe8/edit?usp=sharing"",""ยะลา!J374"")"),184)</f>
        <v>184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IFERROR(__xludf.DUMMYFUNCTION("IMPORTRANGE(""https://docs.google.com/spreadsheets/d/1IYY_tgx_IHuhSq3AJ5eI5OnqOPBNLWSHKh2a30DoXe8/edit?usp=sharing"",""ยะลา!I375"")"),0)</f>
        <v>0</v>
      </c>
      <c r="J480" s="195">
        <f ca="1">IFERROR(__xludf.DUMMYFUNCTION("IMPORTRANGE(""https://docs.google.com/spreadsheets/d/1IYY_tgx_IHuhSq3AJ5eI5OnqOPBNLWSHKh2a30DoXe8/edit?usp=sharing"",""ยะลา!J375"")"),35)</f>
        <v>35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IFERROR(__xludf.DUMMYFUNCTION("IMPORTRANGE(""https://docs.google.com/spreadsheets/d/1IYY_tgx_IHuhSq3AJ5eI5OnqOPBNLWSHKh2a30DoXe8/edit?usp=sharing"",""ยะลา!J376"")"),5391)</f>
        <v>5391</v>
      </c>
      <c r="K481" s="208">
        <f t="shared" ca="1" si="117"/>
        <v>100.01855287569573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IFERROR(__xludf.DUMMYFUNCTION("IMPORTRANGE(""https://docs.google.com/spreadsheets/d/1IYY_tgx_IHuhSq3AJ5eI5OnqOPBNLWSHKh2a30DoXe8/edit?usp=sharing"",""ยะลา!J377"")"),1357)</f>
        <v>1357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IFERROR(__xludf.DUMMYFUNCTION("IMPORTRANGE(""https://docs.google.com/spreadsheets/d/1IYY_tgx_IHuhSq3AJ5eI5OnqOPBNLWSHKh2a30DoXe8/edit?usp=sharing"",""ยะลา!I378"")"),0)</f>
        <v>0</v>
      </c>
      <c r="J483" s="195">
        <f ca="1">IFERROR(__xludf.DUMMYFUNCTION("IMPORTRANGE(""https://docs.google.com/spreadsheets/d/1IYY_tgx_IHuhSq3AJ5eI5OnqOPBNLWSHKh2a30DoXe8/edit?usp=sharing"",""ยะลา!J378"")"),5157)</f>
        <v>5157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IFERROR(__xludf.DUMMYFUNCTION("IMPORTRANGE(""https://docs.google.com/spreadsheets/d/1IYY_tgx_IHuhSq3AJ5eI5OnqOPBNLWSHKh2a30DoXe8/edit?usp=sharing"",""ยะลา!I379"")"),0)</f>
        <v>0</v>
      </c>
      <c r="J484" s="195">
        <f ca="1">IFERROR(__xludf.DUMMYFUNCTION("IMPORTRANGE(""https://docs.google.com/spreadsheets/d/1IYY_tgx_IHuhSq3AJ5eI5OnqOPBNLWSHKh2a30DoXe8/edit?usp=sharing"",""ยะลา!J379"")"),1314)</f>
        <v>1314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IFERROR(__xludf.DUMMYFUNCTION("IMPORTRANGE(""https://docs.google.com/spreadsheets/d/1IYY_tgx_IHuhSq3AJ5eI5OnqOPBNLWSHKh2a30DoXe8/edit?usp=sharing"",""ยะลา!I380"")"),0)</f>
        <v>0</v>
      </c>
      <c r="J485" s="195">
        <f ca="1">IFERROR(__xludf.DUMMYFUNCTION("IMPORTRANGE(""https://docs.google.com/spreadsheets/d/1IYY_tgx_IHuhSq3AJ5eI5OnqOPBNLWSHKh2a30DoXe8/edit?usp=sharing"",""ยะลา!J380"")"),0)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IFERROR(__xludf.DUMMYFUNCTION("IMPORTRANGE(""https://docs.google.com/spreadsheets/d/1IYY_tgx_IHuhSq3AJ5eI5OnqOPBNLWSHKh2a30DoXe8/edit?usp=sharing"",""ยะลา!I381"")"),0)</f>
        <v>0</v>
      </c>
      <c r="J486" s="195">
        <f ca="1">IFERROR(__xludf.DUMMYFUNCTION("IMPORTRANGE(""https://docs.google.com/spreadsheets/d/1IYY_tgx_IHuhSq3AJ5eI5OnqOPBNLWSHKh2a30DoXe8/edit?usp=sharing"",""ยะลา!J381"")"),0)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IFERROR(__xludf.DUMMYFUNCTION("IMPORTRANGE(""https://docs.google.com/spreadsheets/d/1IYY_tgx_IHuhSq3AJ5eI5OnqOPBNLWSHKh2a30DoXe8/edit?usp=sharing"",""ยะลา!J382"")"),184)</f>
        <v>184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IFERROR(__xludf.DUMMYFUNCTION("IMPORTRANGE(""https://docs.google.com/spreadsheets/d/1IYY_tgx_IHuhSq3AJ5eI5OnqOPBNLWSHKh2a30DoXe8/edit?usp=sharing"",""ยะลา!J383"")"),35)</f>
        <v>35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IFERROR(__xludf.DUMMYFUNCTION("IMPORTRANGE(""https://docs.google.com/spreadsheets/d/1IYY_tgx_IHuhSq3AJ5eI5OnqOPBNLWSHKh2a30DoXe8/edit?usp=sharing"",""ยะลา!I384"")"),0)</f>
        <v>0</v>
      </c>
      <c r="J489" s="195">
        <f ca="1">IFERROR(__xludf.DUMMYFUNCTION("IMPORTRANGE(""https://docs.google.com/spreadsheets/d/1IYY_tgx_IHuhSq3AJ5eI5OnqOPBNLWSHKh2a30DoXe8/edit?usp=sharing"",""ยะลา!J384"")"),184)</f>
        <v>184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IFERROR(__xludf.DUMMYFUNCTION("IMPORTRANGE(""https://docs.google.com/spreadsheets/d/1IYY_tgx_IHuhSq3AJ5eI5OnqOPBNLWSHKh2a30DoXe8/edit?usp=sharing"",""ยะลา!I385"")"),0)</f>
        <v>0</v>
      </c>
      <c r="J490" s="195">
        <f ca="1">IFERROR(__xludf.DUMMYFUNCTION("IMPORTRANGE(""https://docs.google.com/spreadsheets/d/1IYY_tgx_IHuhSq3AJ5eI5OnqOPBNLWSHKh2a30DoXe8/edit?usp=sharing"",""ยะลา!J385"")"),35)</f>
        <v>35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IFERROR(__xludf.DUMMYFUNCTION("IMPORTRANGE(""https://docs.google.com/spreadsheets/d/1IYY_tgx_IHuhSq3AJ5eI5OnqOPBNLWSHKh2a30DoXe8/edit?usp=sharing"",""ยะลา!I386"")"),0)</f>
        <v>0</v>
      </c>
      <c r="J491" s="195">
        <f ca="1">IFERROR(__xludf.DUMMYFUNCTION("IMPORTRANGE(""https://docs.google.com/spreadsheets/d/1IYY_tgx_IHuhSq3AJ5eI5OnqOPBNLWSHKh2a30DoXe8/edit?usp=sharing"",""ยะลา!J386"")"),0)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IFERROR(__xludf.DUMMYFUNCTION("IMPORTRANGE(""https://docs.google.com/spreadsheets/d/1IYY_tgx_IHuhSq3AJ5eI5OnqOPBNLWSHKh2a30DoXe8/edit?usp=sharing"",""ยะลา!I387"")"),0)</f>
        <v>0</v>
      </c>
      <c r="J492" s="195">
        <f ca="1">IFERROR(__xludf.DUMMYFUNCTION("IMPORTRANGE(""https://docs.google.com/spreadsheets/d/1IYY_tgx_IHuhSq3AJ5eI5OnqOPBNLWSHKh2a30DoXe8/edit?usp=sharing"",""ยะลา!J387"")"),0)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IFERROR(__xludf.DUMMYFUNCTION("IMPORTRANGE(""https://docs.google.com/spreadsheets/d/1IYY_tgx_IHuhSq3AJ5eI5OnqOPBNLWSHKh2a30DoXe8/edit?usp=sharing"",""ยะลา!I388"")"),0)</f>
        <v>0</v>
      </c>
      <c r="J493" s="195">
        <f ca="1">IFERROR(__xludf.DUMMYFUNCTION("IMPORTRANGE(""https://docs.google.com/spreadsheets/d/1IYY_tgx_IHuhSq3AJ5eI5OnqOPBNLWSHKh2a30DoXe8/edit?usp=sharing"",""ยะลา!J388"")"),50)</f>
        <v>50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IFERROR(__xludf.DUMMYFUNCTION("IMPORTRANGE(""https://docs.google.com/spreadsheets/d/1IYY_tgx_IHuhSq3AJ5eI5OnqOPBNLWSHKh2a30DoXe8/edit?usp=sharing"",""ยะลา!J389"")"),8)</f>
        <v>8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IFERROR(__xludf.DUMMYFUNCTION("IMPORTRANGE(""https://docs.google.com/spreadsheets/d/1IYY_tgx_IHuhSq3AJ5eI5OnqOPBNLWSHKh2a30DoXe8/edit?usp=sharing"",""ยะลา!I395"")"),0)</f>
        <v>0</v>
      </c>
      <c r="J500" s="166">
        <f ca="1">IFERROR(__xludf.DUMMYFUNCTION("IMPORTRANGE(""https://docs.google.com/spreadsheets/d/1IYY_tgx_IHuhSq3AJ5eI5OnqOPBNLWSHKh2a30DoXe8/edit?usp=sharing"",""ยะลา!J395"")"),0)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IFERROR(__xludf.DUMMYFUNCTION("IMPORTRANGE(""https://docs.google.com/spreadsheets/d/1IYY_tgx_IHuhSq3AJ5eI5OnqOPBNLWSHKh2a30DoXe8/edit?usp=sharing"",""ยะลา!I396"")"),0)</f>
        <v>0</v>
      </c>
      <c r="J501" s="166">
        <f ca="1">IFERROR(__xludf.DUMMYFUNCTION("IMPORTRANGE(""https://docs.google.com/spreadsheets/d/1IYY_tgx_IHuhSq3AJ5eI5OnqOPBNLWSHKh2a30DoXe8/edit?usp=sharing"",""ยะลา!J396"")"),0)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IFERROR(__xludf.DUMMYFUNCTION("IMPORTRANGE(""https://docs.google.com/spreadsheets/d/1IYY_tgx_IHuhSq3AJ5eI5OnqOPBNLWSHKh2a30DoXe8/edit?usp=sharing"",""ยะลา!I397"")"),0)</f>
        <v>0</v>
      </c>
      <c r="J502" s="195">
        <f ca="1">IFERROR(__xludf.DUMMYFUNCTION("IMPORTRANGE(""https://docs.google.com/spreadsheets/d/1IYY_tgx_IHuhSq3AJ5eI5OnqOPBNLWSHKh2a30DoXe8/edit?usp=sharing"",""ยะลา!J397"")"),0)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IFERROR(__xludf.DUMMYFUNCTION("IMPORTRANGE(""https://docs.google.com/spreadsheets/d/1IYY_tgx_IHuhSq3AJ5eI5OnqOPBNLWSHKh2a30DoXe8/edit?usp=sharing"",""ยะลา!I398"")"),0)</f>
        <v>0</v>
      </c>
      <c r="J503" s="204">
        <f ca="1">IFERROR(__xludf.DUMMYFUNCTION("IMPORTRANGE(""https://docs.google.com/spreadsheets/d/1IYY_tgx_IHuhSq3AJ5eI5OnqOPBNLWSHKh2a30DoXe8/edit?usp=sharing"",""ยะลา!J398"")"),0)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IFERROR(__xludf.DUMMYFUNCTION("IMPORTRANGE(""https://docs.google.com/spreadsheets/d/1IYY_tgx_IHuhSq3AJ5eI5OnqOPBNLWSHKh2a30DoXe8/edit?usp=sharing"",""ยะลา!I399"")"),0)</f>
        <v>0</v>
      </c>
      <c r="J504" s="195">
        <f ca="1">IFERROR(__xludf.DUMMYFUNCTION("IMPORTRANGE(""https://docs.google.com/spreadsheets/d/1IYY_tgx_IHuhSq3AJ5eI5OnqOPBNLWSHKh2a30DoXe8/edit?usp=sharing"",""ยะลา!J399"")"),0)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IFERROR(__xludf.DUMMYFUNCTION("IMPORTRANGE(""https://docs.google.com/spreadsheets/d/1IYY_tgx_IHuhSq3AJ5eI5OnqOPBNLWSHKh2a30DoXe8/edit?usp=sharing"",""ยะลา!I400"")"),0)</f>
        <v>0</v>
      </c>
      <c r="J505" s="204">
        <f ca="1">IFERROR(__xludf.DUMMYFUNCTION("IMPORTRANGE(""https://docs.google.com/spreadsheets/d/1IYY_tgx_IHuhSq3AJ5eI5OnqOPBNLWSHKh2a30DoXe8/edit?usp=sharing"",""ยะลา!J400"")"),0)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IFERROR(__xludf.DUMMYFUNCTION("IMPORTRANGE(""https://docs.google.com/spreadsheets/d/1IYY_tgx_IHuhSq3AJ5eI5OnqOPBNLWSHKh2a30DoXe8/edit?usp=sharing"",""ยะลา!I401"")"),0)</f>
        <v>0</v>
      </c>
      <c r="J506" s="195">
        <f ca="1">IFERROR(__xludf.DUMMYFUNCTION("IMPORTRANGE(""https://docs.google.com/spreadsheets/d/1IYY_tgx_IHuhSq3AJ5eI5OnqOPBNLWSHKh2a30DoXe8/edit?usp=sharing"",""ยะลา!J401"")"),0)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IFERROR(__xludf.DUMMYFUNCTION("IMPORTRANGE(""https://docs.google.com/spreadsheets/d/1IYY_tgx_IHuhSq3AJ5eI5OnqOPBNLWSHKh2a30DoXe8/edit?usp=sharing"",""ยะลา!I402"")"),0)</f>
        <v>0</v>
      </c>
      <c r="J507" s="204">
        <f ca="1">IFERROR(__xludf.DUMMYFUNCTION("IMPORTRANGE(""https://docs.google.com/spreadsheets/d/1IYY_tgx_IHuhSq3AJ5eI5OnqOPBNLWSHKh2a30DoXe8/edit?usp=sharing"",""ยะลา!J402"")"),0)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IFERROR(__xludf.DUMMYFUNCTION("IMPORTRANGE(""https://docs.google.com/spreadsheets/d/1IYY_tgx_IHuhSq3AJ5eI5OnqOPBNLWSHKh2a30DoXe8/edit?usp=sharing"",""ยะลา!I403"")"),0)</f>
        <v>0</v>
      </c>
      <c r="J508" s="166">
        <f ca="1">IFERROR(__xludf.DUMMYFUNCTION("IMPORTRANGE(""https://docs.google.com/spreadsheets/d/1IYY_tgx_IHuhSq3AJ5eI5OnqOPBNLWSHKh2a30DoXe8/edit?usp=sharing"",""ยะลา!J403"")"),0)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IFERROR(__xludf.DUMMYFUNCTION("IMPORTRANGE(""https://docs.google.com/spreadsheets/d/1IYY_tgx_IHuhSq3AJ5eI5OnqOPBNLWSHKh2a30DoXe8/edit?usp=sharing"",""ยะลา!I404"")"),0)</f>
        <v>0</v>
      </c>
      <c r="J509" s="166">
        <f ca="1">IFERROR(__xludf.DUMMYFUNCTION("IMPORTRANGE(""https://docs.google.com/spreadsheets/d/1IYY_tgx_IHuhSq3AJ5eI5OnqOPBNLWSHKh2a30DoXe8/edit?usp=sharing"",""ยะลา!J404"")"),0)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IFERROR(__xludf.DUMMYFUNCTION("IMPORTRANGE(""https://docs.google.com/spreadsheets/d/1IYY_tgx_IHuhSq3AJ5eI5OnqOPBNLWSHKh2a30DoXe8/edit?usp=sharing"",""ยะลา!I405"")"),0)</f>
        <v>0</v>
      </c>
      <c r="J510" s="204">
        <f ca="1">IFERROR(__xludf.DUMMYFUNCTION("IMPORTRANGE(""https://docs.google.com/spreadsheets/d/1IYY_tgx_IHuhSq3AJ5eI5OnqOPBNLWSHKh2a30DoXe8/edit?usp=sharing"",""ยะลา!J405"")"),0)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IFERROR(__xludf.DUMMYFUNCTION("IMPORTRANGE(""https://docs.google.com/spreadsheets/d/1IYY_tgx_IHuhSq3AJ5eI5OnqOPBNLWSHKh2a30DoXe8/edit?usp=sharing"",""ยะลา!I406"")"),0)</f>
        <v>0</v>
      </c>
      <c r="J511" s="204">
        <f ca="1">IFERROR(__xludf.DUMMYFUNCTION("IMPORTRANGE(""https://docs.google.com/spreadsheets/d/1IYY_tgx_IHuhSq3AJ5eI5OnqOPBNLWSHKh2a30DoXe8/edit?usp=sharing"",""ยะลา!J406"")"),0)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IFERROR(__xludf.DUMMYFUNCTION("IMPORTRANGE(""https://docs.google.com/spreadsheets/d/1IYY_tgx_IHuhSq3AJ5eI5OnqOPBNLWSHKh2a30DoXe8/edit?usp=sharing"",""ยะลา!I407"")"),0)</f>
        <v>0</v>
      </c>
      <c r="J512" s="204">
        <f ca="1">IFERROR(__xludf.DUMMYFUNCTION("IMPORTRANGE(""https://docs.google.com/spreadsheets/d/1IYY_tgx_IHuhSq3AJ5eI5OnqOPBNLWSHKh2a30DoXe8/edit?usp=sharing"",""ยะลา!J407"")"),0)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IFERROR(__xludf.DUMMYFUNCTION("IMPORTRANGE(""https://docs.google.com/spreadsheets/d/1IYY_tgx_IHuhSq3AJ5eI5OnqOPBNLWSHKh2a30DoXe8/edit?usp=sharing"",""ยะลา!I408"")"),0)</f>
        <v>0</v>
      </c>
      <c r="J513" s="204">
        <f ca="1">IFERROR(__xludf.DUMMYFUNCTION("IMPORTRANGE(""https://docs.google.com/spreadsheets/d/1IYY_tgx_IHuhSq3AJ5eI5OnqOPBNLWSHKh2a30DoXe8/edit?usp=sharing"",""ยะลา!J408"")"),0)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IFERROR(__xludf.DUMMYFUNCTION("IMPORTRANGE(""https://docs.google.com/spreadsheets/d/1IYY_tgx_IHuhSq3AJ5eI5OnqOPBNLWSHKh2a30DoXe8/edit?usp=sharing"",""ยะลา!I409"")"),0)</f>
        <v>0</v>
      </c>
      <c r="J514" s="204">
        <f ca="1">IFERROR(__xludf.DUMMYFUNCTION("IMPORTRANGE(""https://docs.google.com/spreadsheets/d/1IYY_tgx_IHuhSq3AJ5eI5OnqOPBNLWSHKh2a30DoXe8/edit?usp=sharing"",""ยะลา!J409"")"),0)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IFERROR(__xludf.DUMMYFUNCTION("IMPORTRANGE(""https://docs.google.com/spreadsheets/d/1IYY_tgx_IHuhSq3AJ5eI5OnqOPBNLWSHKh2a30DoXe8/edit?usp=sharing"",""ยะลา!I410"")"),0)</f>
        <v>0</v>
      </c>
      <c r="J515" s="204">
        <f ca="1">IFERROR(__xludf.DUMMYFUNCTION("IMPORTRANGE(""https://docs.google.com/spreadsheets/d/1IYY_tgx_IHuhSq3AJ5eI5OnqOPBNLWSHKh2a30DoXe8/edit?usp=sharing"",""ยะลา!J410"")"),0)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IFERROR(__xludf.DUMMYFUNCTION("IMPORTRANGE(""https://docs.google.com/spreadsheets/d/1IYY_tgx_IHuhSq3AJ5eI5OnqOPBNLWSHKh2a30DoXe8/edit?usp=sharing"",""ยะลา!I411"")"),0)</f>
        <v>0</v>
      </c>
      <c r="J516" s="273">
        <f ca="1">IFERROR(__xludf.DUMMYFUNCTION("IMPORTRANGE(""https://docs.google.com/spreadsheets/d/1IYY_tgx_IHuhSq3AJ5eI5OnqOPBNLWSHKh2a30DoXe8/edit?usp=sharing"",""ยะลา!J411"")"),0)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IFERROR(__xludf.DUMMYFUNCTION("IMPORTRANGE(""https://docs.google.com/spreadsheets/d/1IYY_tgx_IHuhSq3AJ5eI5OnqOPBNLWSHKh2a30DoXe8/edit?usp=sharing"",""ยะลา!I414"")"),0)</f>
        <v>0</v>
      </c>
      <c r="J519" s="194">
        <f ca="1">IFERROR(__xludf.DUMMYFUNCTION("IMPORTRANGE(""https://docs.google.com/spreadsheets/d/1IYY_tgx_IHuhSq3AJ5eI5OnqOPBNLWSHKh2a30DoXe8/edit?usp=sharing"",""ยะลา!J414"")"),0)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IFERROR(__xludf.DUMMYFUNCTION("IMPORTRANGE(""https://docs.google.com/spreadsheets/d/1IYY_tgx_IHuhSq3AJ5eI5OnqOPBNLWSHKh2a30DoXe8/edit?usp=sharing"",""ยะลา!I415"")"),0)</f>
        <v>0</v>
      </c>
      <c r="J520" s="194">
        <f ca="1">IFERROR(__xludf.DUMMYFUNCTION("IMPORTRANGE(""https://docs.google.com/spreadsheets/d/1IYY_tgx_IHuhSq3AJ5eI5OnqOPBNLWSHKh2a30DoXe8/edit?usp=sharing"",""ยะลา!J415"")"),0)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IFERROR(__xludf.DUMMYFUNCTION("IMPORTRANGE(""https://docs.google.com/spreadsheets/d/1IYY_tgx_IHuhSq3AJ5eI5OnqOPBNLWSHKh2a30DoXe8/edit?usp=sharing"",""ยะลา!I416"")"),0)</f>
        <v>0</v>
      </c>
      <c r="J521" s="194">
        <f ca="1">IFERROR(__xludf.DUMMYFUNCTION("IMPORTRANGE(""https://docs.google.com/spreadsheets/d/1IYY_tgx_IHuhSq3AJ5eI5OnqOPBNLWSHKh2a30DoXe8/edit?usp=sharing"",""ยะลา!J416"")"),0)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IFERROR(__xludf.DUMMYFUNCTION("IMPORTRANGE(""https://docs.google.com/spreadsheets/d/1IYY_tgx_IHuhSq3AJ5eI5OnqOPBNLWSHKh2a30DoXe8/edit?usp=sharing"",""ยะลา!I417"")"),0)</f>
        <v>0</v>
      </c>
      <c r="J522" s="194">
        <f ca="1">IFERROR(__xludf.DUMMYFUNCTION("IMPORTRANGE(""https://docs.google.com/spreadsheets/d/1IYY_tgx_IHuhSq3AJ5eI5OnqOPBNLWSHKh2a30DoXe8/edit?usp=sharing"",""ยะลา!J417"")"),0)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IFERROR(__xludf.DUMMYFUNCTION("IMPORTRANGE(""https://docs.google.com/spreadsheets/d/1IYY_tgx_IHuhSq3AJ5eI5OnqOPBNLWSHKh2a30DoXe8/edit?usp=sharing"",""ยะลา!I418"")"),0)</f>
        <v>0</v>
      </c>
      <c r="J523" s="194">
        <f ca="1">IFERROR(__xludf.DUMMYFUNCTION("IMPORTRANGE(""https://docs.google.com/spreadsheets/d/1IYY_tgx_IHuhSq3AJ5eI5OnqOPBNLWSHKh2a30DoXe8/edit?usp=sharing"",""ยะลา!J418"")"),0)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IFERROR(__xludf.DUMMYFUNCTION("IMPORTRANGE(""https://docs.google.com/spreadsheets/d/1IYY_tgx_IHuhSq3AJ5eI5OnqOPBNLWSHKh2a30DoXe8/edit?usp=sharing"",""ยะลา!I419"")"),0)</f>
        <v>0</v>
      </c>
      <c r="J524" s="194">
        <f ca="1">IFERROR(__xludf.DUMMYFUNCTION("IMPORTRANGE(""https://docs.google.com/spreadsheets/d/1IYY_tgx_IHuhSq3AJ5eI5OnqOPBNLWSHKh2a30DoXe8/edit?usp=sharing"",""ยะลา!J419"")"),0)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IFERROR(__xludf.DUMMYFUNCTION("IMPORTRANGE(""https://docs.google.com/spreadsheets/d/1IYY_tgx_IHuhSq3AJ5eI5OnqOPBNLWSHKh2a30DoXe8/edit?usp=sharing"",""ยะลา!I422"")"),0)</f>
        <v>0</v>
      </c>
      <c r="J527" s="204">
        <f ca="1">IFERROR(__xludf.DUMMYFUNCTION("IMPORTRANGE(""https://docs.google.com/spreadsheets/d/1IYY_tgx_IHuhSq3AJ5eI5OnqOPBNLWSHKh2a30DoXe8/edit?usp=sharing"",""ยะลา!J422"")"),0)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IFERROR(__xludf.DUMMYFUNCTION("IMPORTRANGE(""https://docs.google.com/spreadsheets/d/1IYY_tgx_IHuhSq3AJ5eI5OnqOPBNLWSHKh2a30DoXe8/edit?usp=sharing"",""ยะลา!I423"")"),0)</f>
        <v>0</v>
      </c>
      <c r="J528" s="204">
        <f ca="1">IFERROR(__xludf.DUMMYFUNCTION("IMPORTRANGE(""https://docs.google.com/spreadsheets/d/1IYY_tgx_IHuhSq3AJ5eI5OnqOPBNLWSHKh2a30DoXe8/edit?usp=sharing"",""ยะลา!J423"")"),0)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IFERROR(__xludf.DUMMYFUNCTION("IMPORTRANGE(""https://docs.google.com/spreadsheets/d/1IYY_tgx_IHuhSq3AJ5eI5OnqOPBNLWSHKh2a30DoXe8/edit?usp=sharing"",""ยะลา!I424"")"),0)</f>
        <v>0</v>
      </c>
      <c r="J529" s="204">
        <f ca="1">IFERROR(__xludf.DUMMYFUNCTION("IMPORTRANGE(""https://docs.google.com/spreadsheets/d/1IYY_tgx_IHuhSq3AJ5eI5OnqOPBNLWSHKh2a30DoXe8/edit?usp=sharing"",""ยะลา!J424"")"),0)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IFERROR(__xludf.DUMMYFUNCTION("IMPORTRANGE(""https://docs.google.com/spreadsheets/d/1IYY_tgx_IHuhSq3AJ5eI5OnqOPBNLWSHKh2a30DoXe8/edit?usp=sharing"",""ยะลา!I425"")"),0)</f>
        <v>0</v>
      </c>
      <c r="J530" s="204">
        <f ca="1">IFERROR(__xludf.DUMMYFUNCTION("IMPORTRANGE(""https://docs.google.com/spreadsheets/d/1IYY_tgx_IHuhSq3AJ5eI5OnqOPBNLWSHKh2a30DoXe8/edit?usp=sharing"",""ยะลา!J425"")"),0)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IFERROR(__xludf.DUMMYFUNCTION("IMPORTRANGE(""https://docs.google.com/spreadsheets/d/1IYY_tgx_IHuhSq3AJ5eI5OnqOPBNLWSHKh2a30DoXe8/edit?usp=sharing"",""ยะลา!I426"")"),0)</f>
        <v>0</v>
      </c>
      <c r="J531" s="204">
        <f ca="1">IFERROR(__xludf.DUMMYFUNCTION("IMPORTRANGE(""https://docs.google.com/spreadsheets/d/1IYY_tgx_IHuhSq3AJ5eI5OnqOPBNLWSHKh2a30DoXe8/edit?usp=sharing"",""ยะลา!J426"")"),0)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IFERROR(__xludf.DUMMYFUNCTION("IMPORTRANGE(""https://docs.google.com/spreadsheets/d/1IYY_tgx_IHuhSq3AJ5eI5OnqOPBNLWSHKh2a30DoXe8/edit?usp=sharing"",""ยะลา!L429"")"),0)</f>
        <v>0</v>
      </c>
      <c r="M534" s="168"/>
      <c r="N534" s="175">
        <f ca="1">IFERROR(__xludf.DUMMYFUNCTION("IMPORTRANGE(""https://docs.google.com/spreadsheets/d/1IYY_tgx_IHuhSq3AJ5eI5OnqOPBNLWSHKh2a30DoXe8/edit?usp=sharing"",""ยะลา!M429"")"),0)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5">
        <f ca="1">IFERROR(__xludf.DUMMYFUNCTION("IMPORTRANGE(""https://docs.google.com/spreadsheets/d/1IYY_tgx_IHuhSq3AJ5eI5OnqOPBNLWSHKh2a30DoXe8/edit?usp=sharing"",""ยะลา!M430"")"),16350)</f>
        <v>16350</v>
      </c>
      <c r="O535" s="175">
        <f t="shared" ca="1" si="118"/>
        <v>55.916552667578657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IFERROR(__xludf.DUMMYFUNCTION("IMPORTRANGE(""https://docs.google.com/spreadsheets/d/1IYY_tgx_IHuhSq3AJ5eI5OnqOPBNLWSHKh2a30DoXe8/edit?usp=sharing"",""ยะลา!L431"")"),0)</f>
        <v>0</v>
      </c>
      <c r="M536" s="175"/>
      <c r="N536" s="175">
        <f ca="1">IFERROR(__xludf.DUMMYFUNCTION("IMPORTRANGE(""https://docs.google.com/spreadsheets/d/1IYY_tgx_IHuhSq3AJ5eI5OnqOPBNLWSHKh2a30DoXe8/edit?usp=sharing"",""ยะลา!M431"")"),0)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IFERROR(__xludf.DUMMYFUNCTION("IMPORTRANGE(""https://docs.google.com/spreadsheets/d/1IYY_tgx_IHuhSq3AJ5eI5OnqOPBNLWSHKh2a30DoXe8/edit?usp=sharing"",""ยะลา!L432"")"),29240)</f>
        <v>29240</v>
      </c>
      <c r="M537" s="175"/>
      <c r="N537" s="175">
        <f ca="1">IFERROR(__xludf.DUMMYFUNCTION("IMPORTRANGE(""https://docs.google.com/spreadsheets/d/1IYY_tgx_IHuhSq3AJ5eI5OnqOPBNLWSHKh2a30DoXe8/edit?usp=sharing"",""ยะลา!M432"")"),16350)</f>
        <v>16350</v>
      </c>
      <c r="O537" s="175">
        <f t="shared" ca="1" si="118"/>
        <v>55.916552667578657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IFERROR(__xludf.DUMMYFUNCTION("IMPORTRANGE(""https://docs.google.com/spreadsheets/d/1IYY_tgx_IHuhSq3AJ5eI5OnqOPBNLWSHKh2a30DoXe8/edit?usp=sharing"",""ยะลา!J438"")"),0)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IFERROR(__xludf.DUMMYFUNCTION("IMPORTRANGE(""https://docs.google.com/spreadsheets/d/1IYY_tgx_IHuhSq3AJ5eI5OnqOPBNLWSHKh2a30DoXe8/edit?usp=sharing"",""ยะลา!J439"")"),1)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IFERROR(__xludf.DUMMYFUNCTION("IMPORTRANGE(""https://docs.google.com/spreadsheets/d/1IYY_tgx_IHuhSq3AJ5eI5OnqOPBNLWSHKh2a30DoXe8/edit?usp=sharing"",""ยะลา!J440"")"),1)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IFERROR(__xludf.DUMMYFUNCTION("IMPORTRANGE(""https://docs.google.com/spreadsheets/d/1IYY_tgx_IHuhSq3AJ5eI5OnqOPBNLWSHKh2a30DoXe8/edit?usp=sharing"",""ยะลา!J441"")"),1)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IFERROR(__xludf.DUMMYFUNCTION("IMPORTRANGE(""https://docs.google.com/spreadsheets/d/1IYY_tgx_IHuhSq3AJ5eI5OnqOPBNLWSHKh2a30DoXe8/edit?usp=sharing"",""ยะลา!I442"")"),16)</f>
        <v>16</v>
      </c>
      <c r="J547" s="195">
        <f ca="1">IFERROR(__xludf.DUMMYFUNCTION("IMPORTRANGE(""https://docs.google.com/spreadsheets/d/1IYY_tgx_IHuhSq3AJ5eI5OnqOPBNLWSHKh2a30DoXe8/edit?usp=sharing"",""ยะลา!J442"")"),16)</f>
        <v>16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IFERROR(__xludf.DUMMYFUNCTION("IMPORTRANGE(""https://docs.google.com/spreadsheets/d/1IYY_tgx_IHuhSq3AJ5eI5OnqOPBNLWSHKh2a30DoXe8/edit?usp=sharing"",""ยะลา!J166"")"),0)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IFERROR(__xludf.DUMMYFUNCTION("IMPORTRANGE(""https://docs.google.com/spreadsheets/d/1IYY_tgx_IHuhSq3AJ5eI5OnqOPBNLWSHKh2a30DoXe8/edit?usp=sharing"",""ยะลา!J444"")"),0)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IFERROR(__xludf.DUMMYFUNCTION("IMPORTRANGE(""https://docs.google.com/spreadsheets/d/1IYY_tgx_IHuhSq3AJ5eI5OnqOPBNLWSHKh2a30DoXe8/edit?usp=sharing"",""ยะลา!L447"")"),0)</f>
        <v>0</v>
      </c>
      <c r="M552" s="168"/>
      <c r="N552" s="175">
        <f ca="1">IFERROR(__xludf.DUMMYFUNCTION("IMPORTRANGE(""https://docs.google.com/spreadsheets/d/1IYY_tgx_IHuhSq3AJ5eI5OnqOPBNLWSHKh2a30DoXe8/edit?usp=sharing"",""ยะลา!M447"")"),0)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5">
        <f ca="1">IFERROR(__xludf.DUMMYFUNCTION("IMPORTRANGE(""https://docs.google.com/spreadsheets/d/1IYY_tgx_IHuhSq3AJ5eI5OnqOPBNLWSHKh2a30DoXe8/edit?usp=sharing"",""ยะลา!M448"")"),0)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IFERROR(__xludf.DUMMYFUNCTION("IMPORTRANGE(""https://docs.google.com/spreadsheets/d/1IYY_tgx_IHuhSq3AJ5eI5OnqOPBNLWSHKh2a30DoXe8/edit?usp=sharing"",""ยะลา!L449"")"),0)</f>
        <v>0</v>
      </c>
      <c r="M554" s="175"/>
      <c r="N554" s="175">
        <f ca="1">IFERROR(__xludf.DUMMYFUNCTION("IMPORTRANGE(""https://docs.google.com/spreadsheets/d/1IYY_tgx_IHuhSq3AJ5eI5OnqOPBNLWSHKh2a30DoXe8/edit?usp=sharing"",""ยะลา!M449"")"),0)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IFERROR(__xludf.DUMMYFUNCTION("IMPORTRANGE(""https://docs.google.com/spreadsheets/d/1IYY_tgx_IHuhSq3AJ5eI5OnqOPBNLWSHKh2a30DoXe8/edit?usp=sharing"",""ยะลา!L450"")"),0)</f>
        <v>0</v>
      </c>
      <c r="M555" s="175"/>
      <c r="N555" s="175">
        <f ca="1">IFERROR(__xludf.DUMMYFUNCTION("IMPORTRANGE(""https://docs.google.com/spreadsheets/d/1IYY_tgx_IHuhSq3AJ5eI5OnqOPBNLWSHKh2a30DoXe8/edit?usp=sharing"",""ยะลา!M450"")"),0)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IFERROR(__xludf.DUMMYFUNCTION("IMPORTRANGE(""https://docs.google.com/spreadsheets/d/1IYY_tgx_IHuhSq3AJ5eI5OnqOPBNLWSHKh2a30DoXe8/edit?usp=sharing"",""ยะลา!M451"")"),0)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IFERROR(__xludf.DUMMYFUNCTION("IMPORTRANGE(""https://docs.google.com/spreadsheets/d/1IYY_tgx_IHuhSq3AJ5eI5OnqOPBNLWSHKh2a30DoXe8/edit?usp=sharing"",""ยะลา!M452"")"),0)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IFERROR(__xludf.DUMMYFUNCTION("IMPORTRANGE(""https://docs.google.com/spreadsheets/d/1IYY_tgx_IHuhSq3AJ5eI5OnqOPBNLWSHKh2a30DoXe8/edit?usp=sharing"",""ยะลา!M453"")"),0)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IFERROR(__xludf.DUMMYFUNCTION("IMPORTRANGE(""https://docs.google.com/spreadsheets/d/1IYY_tgx_IHuhSq3AJ5eI5OnqOPBNLWSHKh2a30DoXe8/edit?usp=sharing"",""ยะลา!M454"")"),0)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IFERROR(__xludf.DUMMYFUNCTION("IMPORTRANGE(""https://docs.google.com/spreadsheets/d/1IYY_tgx_IHuhSq3AJ5eI5OnqOPBNLWSHKh2a30DoXe8/edit?usp=sharing"",""ยะลา!I455"")"),0)</f>
        <v>0</v>
      </c>
      <c r="J560" s="166">
        <f ca="1">IFERROR(__xludf.DUMMYFUNCTION("IMPORTRANGE(""https://docs.google.com/spreadsheets/d/1IYY_tgx_IHuhSq3AJ5eI5OnqOPBNLWSHKh2a30DoXe8/edit?usp=sharing"",""ยะลา!J455"")"),0)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IFERROR(__xludf.DUMMYFUNCTION("IMPORTRANGE(""https://docs.google.com/spreadsheets/d/1IYY_tgx_IHuhSq3AJ5eI5OnqOPBNLWSHKh2a30DoXe8/edit?usp=sharing"",""ยะลา!I456"")"),0)</f>
        <v>0</v>
      </c>
      <c r="J561" s="210">
        <f ca="1">IFERROR(__xludf.DUMMYFUNCTION("IMPORTRANGE(""https://docs.google.com/spreadsheets/d/1IYY_tgx_IHuhSq3AJ5eI5OnqOPBNLWSHKh2a30DoXe8/edit?usp=sharing"",""ยะลา!J456"")"),0)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IFERROR(__xludf.DUMMYFUNCTION("IMPORTRANGE(""https://docs.google.com/spreadsheets/d/1IYY_tgx_IHuhSq3AJ5eI5OnqOPBNLWSHKh2a30DoXe8/edit?usp=sharing"",""ยะลา!J459"")"),343)</f>
        <v>343</v>
      </c>
      <c r="K564" s="378">
        <f ca="1">IF(I564&gt;0,J564*100/I564,0)</f>
        <v>228.66666666666666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IFERROR(__xludf.DUMMYFUNCTION("IMPORTRANGE(""https://docs.google.com/spreadsheets/d/1IYY_tgx_IHuhSq3AJ5eI5OnqOPBNLWSHKh2a30DoXe8/edit?usp=sharing"",""ยะลา!M459"")"),82635.95)</f>
        <v>82635.95</v>
      </c>
      <c r="O564" s="379">
        <f t="shared" ref="O564:O568" ca="1" si="122">+IF(L564&gt;0,N564*100/L564,0)</f>
        <v>66.814319210866756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IFERROR(__xludf.DUMMYFUNCTION("IMPORTRANGE(""https://docs.google.com/spreadsheets/d/1IYY_tgx_IHuhSq3AJ5eI5OnqOPBNLWSHKh2a30DoXe8/edit?usp=sharing"",""ยะลา!L460"")"),0)</f>
        <v>0</v>
      </c>
      <c r="M565" s="168"/>
      <c r="N565" s="175">
        <f ca="1">IFERROR(__xludf.DUMMYFUNCTION("IMPORTRANGE(""https://docs.google.com/spreadsheets/d/1IYY_tgx_IHuhSq3AJ5eI5OnqOPBNLWSHKh2a30DoXe8/edit?usp=sharing"",""ยะลา!M460"")"),0)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5">
        <f ca="1">IFERROR(__xludf.DUMMYFUNCTION("IMPORTRANGE(""https://docs.google.com/spreadsheets/d/1IYY_tgx_IHuhSq3AJ5eI5OnqOPBNLWSHKh2a30DoXe8/edit?usp=sharing"",""ยะลา!M461"")"),82635.95)</f>
        <v>82635.95</v>
      </c>
      <c r="O566" s="175">
        <f t="shared" ca="1" si="122"/>
        <v>66.814319210866756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IFERROR(__xludf.DUMMYFUNCTION("IMPORTRANGE(""https://docs.google.com/spreadsheets/d/1IYY_tgx_IHuhSq3AJ5eI5OnqOPBNLWSHKh2a30DoXe8/edit?usp=sharing"",""ยะลา!L462"")"),0)</f>
        <v>0</v>
      </c>
      <c r="M567" s="175"/>
      <c r="N567" s="175">
        <f ca="1">IFERROR(__xludf.DUMMYFUNCTION("IMPORTRANGE(""https://docs.google.com/spreadsheets/d/1IYY_tgx_IHuhSq3AJ5eI5OnqOPBNLWSHKh2a30DoXe8/edit?usp=sharing"",""ยะลา!M462"")"),0)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IFERROR(__xludf.DUMMYFUNCTION("IMPORTRANGE(""https://docs.google.com/spreadsheets/d/1IYY_tgx_IHuhSq3AJ5eI5OnqOPBNLWSHKh2a30DoXe8/edit?usp=sharing"",""ยะลา!L463"")"),123680)</f>
        <v>123680</v>
      </c>
      <c r="M568" s="175"/>
      <c r="N568" s="175">
        <f ca="1">IFERROR(__xludf.DUMMYFUNCTION("IMPORTRANGE(""https://docs.google.com/spreadsheets/d/1IYY_tgx_IHuhSq3AJ5eI5OnqOPBNLWSHKh2a30DoXe8/edit?usp=sharing"",""ยะลา!M463"")"),82635.95)</f>
        <v>82635.95</v>
      </c>
      <c r="O568" s="175">
        <f t="shared" ca="1" si="122"/>
        <v>66.814319210866756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IFERROR(__xludf.DUMMYFUNCTION("IMPORTRANGE(""https://docs.google.com/spreadsheets/d/1IYY_tgx_IHuhSq3AJ5eI5OnqOPBNLWSHKh2a30DoXe8/edit?usp=sharing"",""ยะลา!M464"")"),0)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IFERROR(__xludf.DUMMYFUNCTION("IMPORTRANGE(""https://docs.google.com/spreadsheets/d/1IYY_tgx_IHuhSq3AJ5eI5OnqOPBNLWSHKh2a30DoXe8/edit?usp=sharing"",""ยะลา!M465"")"),0)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IFERROR(__xludf.DUMMYFUNCTION("IMPORTRANGE(""https://docs.google.com/spreadsheets/d/1IYY_tgx_IHuhSq3AJ5eI5OnqOPBNLWSHKh2a30DoXe8/edit?usp=sharing"",""ยะลา!M466"")"),64175.95)</f>
        <v>64175.95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IFERROR(__xludf.DUMMYFUNCTION("IMPORTRANGE(""https://docs.google.com/spreadsheets/d/1IYY_tgx_IHuhSq3AJ5eI5OnqOPBNLWSHKh2a30DoXe8/edit?usp=sharing"",""ยะลา!M467"")"),18460)</f>
        <v>18460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IFERROR(__xludf.DUMMYFUNCTION("IMPORTRANGE(""https://docs.google.com/spreadsheets/d/1IYY_tgx_IHuhSq3AJ5eI5OnqOPBNLWSHKh2a30DoXe8/edit?usp=sharing"",""ยะลา!J468"")"),343)</f>
        <v>343</v>
      </c>
      <c r="K573" s="208">
        <f ca="1">IF(I573&gt;0,J573*100/I573,0)</f>
        <v>228.66666666666666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IFERROR(__xludf.DUMMYFUNCTION("IMPORTRANGE(""https://docs.google.com/spreadsheets/d/1IYY_tgx_IHuhSq3AJ5eI5OnqOPBNLWSHKh2a30DoXe8/edit?usp=sharing"",""ยะลา!I470"")"),0)</f>
        <v>0</v>
      </c>
      <c r="J575" s="204">
        <f ca="1">IFERROR(__xludf.DUMMYFUNCTION("IMPORTRANGE(""https://docs.google.com/spreadsheets/d/1IYY_tgx_IHuhSq3AJ5eI5OnqOPBNLWSHKh2a30DoXe8/edit?usp=sharing"",""ยะลา!J470"")"),4)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IFERROR(__xludf.DUMMYFUNCTION("IMPORTRANGE(""https://docs.google.com/spreadsheets/d/1IYY_tgx_IHuhSq3AJ5eI5OnqOPBNLWSHKh2a30DoXe8/edit?usp=sharing"",""ยะลา!I471"")"),0)</f>
        <v>0</v>
      </c>
      <c r="J576" s="204">
        <f ca="1">IFERROR(__xludf.DUMMYFUNCTION("IMPORTRANGE(""https://docs.google.com/spreadsheets/d/1IYY_tgx_IHuhSq3AJ5eI5OnqOPBNLWSHKh2a30DoXe8/edit?usp=sharing"",""ยะลา!J471"")"),123)</f>
        <v>123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IFERROR(__xludf.DUMMYFUNCTION("IMPORTRANGE(""https://docs.google.com/spreadsheets/d/1IYY_tgx_IHuhSq3AJ5eI5OnqOPBNLWSHKh2a30DoXe8/edit?usp=sharing"",""ยะลา!I472"")"),0)</f>
        <v>0</v>
      </c>
      <c r="J577" s="195">
        <f ca="1">IFERROR(__xludf.DUMMYFUNCTION("IMPORTRANGE(""https://docs.google.com/spreadsheets/d/1IYY_tgx_IHuhSq3AJ5eI5OnqOPBNLWSHKh2a30DoXe8/edit?usp=sharing"",""ยะลา!J472"")"),220)</f>
        <v>220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IFERROR(__xludf.DUMMYFUNCTION("IMPORTRANGE(""https://docs.google.com/spreadsheets/d/1IYY_tgx_IHuhSq3AJ5eI5OnqOPBNLWSHKh2a30DoXe8/edit?usp=sharing"",""ยะลา!I473"")"),0)</f>
        <v>0</v>
      </c>
      <c r="J578" s="204">
        <f ca="1">IFERROR(__xludf.DUMMYFUNCTION("IMPORTRANGE(""https://docs.google.com/spreadsheets/d/1IYY_tgx_IHuhSq3AJ5eI5OnqOPBNLWSHKh2a30DoXe8/edit?usp=sharing"",""ยะลา!J473"")"),0)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IFERROR(__xludf.DUMMYFUNCTION("IMPORTRANGE(""https://docs.google.com/spreadsheets/d/1IYY_tgx_IHuhSq3AJ5eI5OnqOPBNLWSHKh2a30DoXe8/edit?usp=sharing"",""ยะลา!I474"")"),0)</f>
        <v>0</v>
      </c>
      <c r="J579" s="204">
        <f ca="1">IFERROR(__xludf.DUMMYFUNCTION("IMPORTRANGE(""https://docs.google.com/spreadsheets/d/1IYY_tgx_IHuhSq3AJ5eI5OnqOPBNLWSHKh2a30DoXe8/edit?usp=sharing"",""ยะลา!J474"")"),0)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IFERROR(__xludf.DUMMYFUNCTION("IMPORTRANGE(""https://docs.google.com/spreadsheets/d/1IYY_tgx_IHuhSq3AJ5eI5OnqOPBNLWSHKh2a30DoXe8/edit?usp=sharing"",""ยะลา!L476"")"),0)</f>
        <v>0</v>
      </c>
      <c r="M581" s="168"/>
      <c r="N581" s="175">
        <f ca="1">IFERROR(__xludf.DUMMYFUNCTION("IMPORTRANGE(""https://docs.google.com/spreadsheets/d/1IYY_tgx_IHuhSq3AJ5eI5OnqOPBNLWSHKh2a30DoXe8/edit?usp=sharing"",""ยะลา!M476"")"),0)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5">
        <f ca="1">IFERROR(__xludf.DUMMYFUNCTION("IMPORTRANGE(""https://docs.google.com/spreadsheets/d/1IYY_tgx_IHuhSq3AJ5eI5OnqOPBNLWSHKh2a30DoXe8/edit?usp=sharing"",""ยะลา!M477"")"),0)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IFERROR(__xludf.DUMMYFUNCTION("IMPORTRANGE(""https://docs.google.com/spreadsheets/d/1IYY_tgx_IHuhSq3AJ5eI5OnqOPBNLWSHKh2a30DoXe8/edit?usp=sharing"",""ยะลา!L478"")"),0)</f>
        <v>0</v>
      </c>
      <c r="M583" s="175"/>
      <c r="N583" s="175">
        <f ca="1">IFERROR(__xludf.DUMMYFUNCTION("IMPORTRANGE(""https://docs.google.com/spreadsheets/d/1IYY_tgx_IHuhSq3AJ5eI5OnqOPBNLWSHKh2a30DoXe8/edit?usp=sharing"",""ยะลา!M478"")"),0)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IFERROR(__xludf.DUMMYFUNCTION("IMPORTRANGE(""https://docs.google.com/spreadsheets/d/1IYY_tgx_IHuhSq3AJ5eI5OnqOPBNLWSHKh2a30DoXe8/edit?usp=sharing"",""ยะลา!L479"")"),0)</f>
        <v>0</v>
      </c>
      <c r="M584" s="175"/>
      <c r="N584" s="175">
        <f ca="1">IFERROR(__xludf.DUMMYFUNCTION("IMPORTRANGE(""https://docs.google.com/spreadsheets/d/1IYY_tgx_IHuhSq3AJ5eI5OnqOPBNLWSHKh2a30DoXe8/edit?usp=sharing"",""ยะลา!M479"")"),0)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IFERROR(__xludf.DUMMYFUNCTION("IMPORTRANGE(""https://docs.google.com/spreadsheets/d/1IYY_tgx_IHuhSq3AJ5eI5OnqOPBNLWSHKh2a30DoXe8/edit?usp=sharing"",""ยะลา!M480"")"),0)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IFERROR(__xludf.DUMMYFUNCTION("IMPORTRANGE(""https://docs.google.com/spreadsheets/d/1IYY_tgx_IHuhSq3AJ5eI5OnqOPBNLWSHKh2a30DoXe8/edit?usp=sharing"",""ยะลา!M481"")"),0)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IFERROR(__xludf.DUMMYFUNCTION("IMPORTRANGE(""https://docs.google.com/spreadsheets/d/1IYY_tgx_IHuhSq3AJ5eI5OnqOPBNLWSHKh2a30DoXe8/edit?usp=sharing"",""ยะลา!M482"")"),0)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IFERROR(__xludf.DUMMYFUNCTION("IMPORTRANGE(""https://docs.google.com/spreadsheets/d/1IYY_tgx_IHuhSq3AJ5eI5OnqOPBNLWSHKh2a30DoXe8/edit?usp=sharing"",""ยะลา!M483"")"),0)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4">
        <f ca="1">IFERROR(__xludf.DUMMYFUNCTION("IMPORTRANGE(""https://docs.google.com/spreadsheets/d/1IYY_tgx_IHuhSq3AJ5eI5OnqOPBNLWSHKh2a30DoXe8/edit?usp=sharing"",""ยะลา!J484"")"),0)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4">
        <f ca="1">IFERROR(__xludf.DUMMYFUNCTION("IMPORTRANGE(""https://docs.google.com/spreadsheets/d/1IYY_tgx_IHuhSq3AJ5eI5OnqOPBNLWSHKh2a30DoXe8/edit?usp=sharing"",""ยะลา!J485"")"),0)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4">
        <f ca="1">IFERROR(__xludf.DUMMYFUNCTION("IMPORTRANGE(""https://docs.google.com/spreadsheets/d/1IYY_tgx_IHuhSq3AJ5eI5OnqOPBNLWSHKh2a30DoXe8/edit?usp=sharing"",""ยะลา!J486"")"),0)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4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4">
        <f ca="1">IFERROR(__xludf.DUMMYFUNCTION("IMPORTRANGE(""https://docs.google.com/spreadsheets/d/1IYY_tgx_IHuhSq3AJ5eI5OnqOPBNLWSHKh2a30DoXe8/edit?usp=sharing"",""ยะลา!J488"")"),0)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4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4">
        <f ca="1">IFERROR(__xludf.DUMMYFUNCTION("IMPORTRANGE(""https://docs.google.com/spreadsheets/d/1IYY_tgx_IHuhSq3AJ5eI5OnqOPBNLWSHKh2a30DoXe8/edit?usp=sharing"",""ยะลา!J490"")"),0)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IFERROR(__xludf.DUMMYFUNCTION("IMPORTRANGE(""https://docs.google.com/spreadsheets/d/1IYY_tgx_IHuhSq3AJ5eI5OnqOPBNLWSHKh2a30DoXe8/edit?usp=sharing"",""ยะลา!I491"")"),0)</f>
        <v>0</v>
      </c>
      <c r="J596" s="247">
        <f ca="1">IFERROR(__xludf.DUMMYFUNCTION("IMPORTRANGE(""https://docs.google.com/spreadsheets/d/1IYY_tgx_IHuhSq3AJ5eI5OnqOPBNLWSHKh2a30DoXe8/edit?usp=sharing"",""ยะลา!J491"")"),0)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4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IFERROR(__xludf.DUMMYFUNCTION("IMPORTRANGE(""https://docs.google.com/spreadsheets/d/1IYY_tgx_IHuhSq3AJ5eI5OnqOPBNLWSHKh2a30DoXe8/edit?usp=sharing"",""ยะลา!M492"")"),1800)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IFERROR(__xludf.DUMMYFUNCTION("IMPORTRANGE(""https://docs.google.com/spreadsheets/d/1IYY_tgx_IHuhSq3AJ5eI5OnqOPBNLWSHKh2a30DoXe8/edit?usp=sharing"",""ยะลา!L493"")"),0)</f>
        <v>0</v>
      </c>
      <c r="M598" s="168"/>
      <c r="N598" s="175">
        <f ca="1">IFERROR(__xludf.DUMMYFUNCTION("IMPORTRANGE(""https://docs.google.com/spreadsheets/d/1IYY_tgx_IHuhSq3AJ5eI5OnqOPBNLWSHKh2a30DoXe8/edit?usp=sharing"",""ยะลา!M493"")"),0)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IFERROR(__xludf.DUMMYFUNCTION("IMPORTRANGE(""https://docs.google.com/spreadsheets/d/1IYY_tgx_IHuhSq3AJ5eI5OnqOPBNLWSHKh2a30DoXe8/edit?usp=sharing"",""ยะลา!L494"")"),4550)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IFERROR(__xludf.DUMMYFUNCTION("IMPORTRANGE(""https://docs.google.com/spreadsheets/d/1IYY_tgx_IHuhSq3AJ5eI5OnqOPBNLWSHKh2a30DoXe8/edit?usp=sharing"",""ยะลา!M494"")"),1800)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IFERROR(__xludf.DUMMYFUNCTION("IMPORTRANGE(""https://docs.google.com/spreadsheets/d/1IYY_tgx_IHuhSq3AJ5eI5OnqOPBNLWSHKh2a30DoXe8/edit?usp=sharing"",""ยะลา!L495"")"),0)</f>
        <v>0</v>
      </c>
      <c r="M600" s="175"/>
      <c r="N600" s="175">
        <f ca="1">IFERROR(__xludf.DUMMYFUNCTION("IMPORTRANGE(""https://docs.google.com/spreadsheets/d/1IYY_tgx_IHuhSq3AJ5eI5OnqOPBNLWSHKh2a30DoXe8/edit?usp=sharing"",""ยะลา!M495"")"),0)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IFERROR(__xludf.DUMMYFUNCTION("IMPORTRANGE(""https://docs.google.com/spreadsheets/d/1IYY_tgx_IHuhSq3AJ5eI5OnqOPBNLWSHKh2a30DoXe8/edit?usp=sharing"",""ยะลา!L496"")"),4550)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IFERROR(__xludf.DUMMYFUNCTION("IMPORTRANGE(""https://docs.google.com/spreadsheets/d/1IYY_tgx_IHuhSq3AJ5eI5OnqOPBNLWSHKh2a30DoXe8/edit?usp=sharing"",""ยะลา!M496"")"),1800)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IFERROR(__xludf.DUMMYFUNCTION("IMPORTRANGE(""https://docs.google.com/spreadsheets/d/1IYY_tgx_IHuhSq3AJ5eI5OnqOPBNLWSHKh2a30DoXe8/edit?usp=sharing"",""ยะลา!M497"")"),0)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IFERROR(__xludf.DUMMYFUNCTION("IMPORTRANGE(""https://docs.google.com/spreadsheets/d/1IYY_tgx_IHuhSq3AJ5eI5OnqOPBNLWSHKh2a30DoXe8/edit?usp=sharing"",""ยะลา!M498"")"),0)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IFERROR(__xludf.DUMMYFUNCTION("IMPORTRANGE(""https://docs.google.com/spreadsheets/d/1IYY_tgx_IHuhSq3AJ5eI5OnqOPBNLWSHKh2a30DoXe8/edit?usp=sharing"",""ยะลา!M500"")"),1800)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IFERROR(__xludf.DUMMYFUNCTION("IMPORTRANGE(""https://docs.google.com/spreadsheets/d/1IYY_tgx_IHuhSq3AJ5eI5OnqOPBNLWSHKh2a30DoXe8/edit?usp=sharing"",""ยะลา!J502"")"),0)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IFERROR(__xludf.DUMMYFUNCTION("IMPORTRANGE(""https://docs.google.com/spreadsheets/d/1IYY_tgx_IHuhSq3AJ5eI5OnqOPBNLWSHKh2a30DoXe8/edit?usp=sharing"",""ยะลา!J503"")"),1)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IFERROR(__xludf.DUMMYFUNCTION("IMPORTRANGE(""https://docs.google.com/spreadsheets/d/1IYY_tgx_IHuhSq3AJ5eI5OnqOPBNLWSHKh2a30DoXe8/edit?usp=sharing"",""ยะลา!J166"")"),0)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IFERROR(__xludf.DUMMYFUNCTION("IMPORTRANGE(""https://docs.google.com/spreadsheets/d/1IYY_tgx_IHuhSq3AJ5eI5OnqOPBNLWSHKh2a30DoXe8/edit?usp=sharing"",""ยะลา!J166"")"),0)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IFERROR(__xludf.DUMMYFUNCTION("IMPORTRANGE(""https://docs.google.com/spreadsheets/d/1IYY_tgx_IHuhSq3AJ5eI5OnqOPBNLWSHKh2a30DoXe8/edit?usp=sharing"",""ยะลา!I506"")"),50)</f>
        <v>50</v>
      </c>
      <c r="J611" s="166">
        <f ca="1">IFERROR(__xludf.DUMMYFUNCTION("IMPORTRANGE(""https://docs.google.com/spreadsheets/d/1IYY_tgx_IHuhSq3AJ5eI5OnqOPBNLWSHKh2a30DoXe8/edit?usp=sharing"",""ยะลา!J506"")"),0)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IFERROR(__xludf.DUMMYFUNCTION("IMPORTRANGE(""https://docs.google.com/spreadsheets/d/1IYY_tgx_IHuhSq3AJ5eI5OnqOPBNLWSHKh2a30DoXe8/edit?usp=sharing"",""ยะลา!I507"")"),0)</f>
        <v>0</v>
      </c>
      <c r="J612" s="204">
        <f ca="1">IFERROR(__xludf.DUMMYFUNCTION("IMPORTRANGE(""https://docs.google.com/spreadsheets/d/1IYY_tgx_IHuhSq3AJ5eI5OnqOPBNLWSHKh2a30DoXe8/edit?usp=sharing"",""ยะลา!J507"")"),29)</f>
        <v>29</v>
      </c>
      <c r="K612" s="167">
        <f t="shared" ca="1" si="127"/>
        <v>58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IFERROR(__xludf.DUMMYFUNCTION("IMPORTRANGE(""https://docs.google.com/spreadsheets/d/1IYY_tgx_IHuhSq3AJ5eI5OnqOPBNLWSHKh2a30DoXe8/edit?usp=sharing"",""ยะลา!I508"")"),0)</f>
        <v>0</v>
      </c>
      <c r="J613" s="204">
        <f ca="1">IFERROR(__xludf.DUMMYFUNCTION("IMPORTRANGE(""https://docs.google.com/spreadsheets/d/1IYY_tgx_IHuhSq3AJ5eI5OnqOPBNLWSHKh2a30DoXe8/edit?usp=sharing"",""ยะลา!J508"")"),29)</f>
        <v>29</v>
      </c>
      <c r="K613" s="167">
        <f t="shared" ca="1" si="127"/>
        <v>58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IFERROR(__xludf.DUMMYFUNCTION("IMPORTRANGE(""https://docs.google.com/spreadsheets/d/1IYY_tgx_IHuhSq3AJ5eI5OnqOPBNLWSHKh2a30DoXe8/edit?usp=sharing"",""ยะลา!I509"")"),0)</f>
        <v>0</v>
      </c>
      <c r="J614" s="204">
        <f ca="1">IFERROR(__xludf.DUMMYFUNCTION("IMPORTRANGE(""https://docs.google.com/spreadsheets/d/1IYY_tgx_IHuhSq3AJ5eI5OnqOPBNLWSHKh2a30DoXe8/edit?usp=sharing"",""ยะลา!J509"")"),0)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IFERROR(__xludf.DUMMYFUNCTION("IMPORTRANGE(""https://docs.google.com/spreadsheets/d/1IYY_tgx_IHuhSq3AJ5eI5OnqOPBNLWSHKh2a30DoXe8/edit?usp=sharing"",""ยะลา!I510"")"),0)</f>
        <v>0</v>
      </c>
      <c r="J615" s="204">
        <f ca="1">IFERROR(__xludf.DUMMYFUNCTION("IMPORTRANGE(""https://docs.google.com/spreadsheets/d/1IYY_tgx_IHuhSq3AJ5eI5OnqOPBNLWSHKh2a30DoXe8/edit?usp=sharing"",""ยะลา!J510"")"),0)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IFERROR(__xludf.DUMMYFUNCTION("IMPORTRANGE(""https://docs.google.com/spreadsheets/d/1IYY_tgx_IHuhSq3AJ5eI5OnqOPBNLWSHKh2a30DoXe8/edit?usp=sharing"",""ยะลา!I511"")"),0)</f>
        <v>0</v>
      </c>
      <c r="J616" s="204">
        <f ca="1">IFERROR(__xludf.DUMMYFUNCTION("IMPORTRANGE(""https://docs.google.com/spreadsheets/d/1IYY_tgx_IHuhSq3AJ5eI5OnqOPBNLWSHKh2a30DoXe8/edit?usp=sharing"",""ยะลา!J511"")"),0)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IFERROR(__xludf.DUMMYFUNCTION("IMPORTRANGE(""https://docs.google.com/spreadsheets/d/1IYY_tgx_IHuhSq3AJ5eI5OnqOPBNLWSHKh2a30DoXe8/edit?usp=sharing"",""ยะลา!I512"")"),0)</f>
        <v>0</v>
      </c>
      <c r="J617" s="194">
        <f ca="1">IFERROR(__xludf.DUMMYFUNCTION("IMPORTRANGE(""https://docs.google.com/spreadsheets/d/1IYY_tgx_IHuhSq3AJ5eI5OnqOPBNLWSHKh2a30DoXe8/edit?usp=sharing"",""ยะลา!J512"")"),0)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IFERROR(__xludf.DUMMYFUNCTION("IMPORTRANGE(""https://docs.google.com/spreadsheets/d/1IYY_tgx_IHuhSq3AJ5eI5OnqOPBNLWSHKh2a30DoXe8/edit?usp=sharing"",""ยะลา!I513"")"),0)</f>
        <v>0</v>
      </c>
      <c r="J618" s="195">
        <f ca="1">IFERROR(__xludf.DUMMYFUNCTION("IMPORTRANGE(""https://docs.google.com/spreadsheets/d/1IYY_tgx_IHuhSq3AJ5eI5OnqOPBNLWSHKh2a30DoXe8/edit?usp=sharing"",""ยะลา!J513"")"),0)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IFERROR(__xludf.DUMMYFUNCTION("IMPORTRANGE(""https://docs.google.com/spreadsheets/d/1IYY_tgx_IHuhSq3AJ5eI5OnqOPBNLWSHKh2a30DoXe8/edit?usp=sharing"",""ยะลา!I514"")"),0)</f>
        <v>0</v>
      </c>
      <c r="J619" s="195">
        <f ca="1">IFERROR(__xludf.DUMMYFUNCTION("IMPORTRANGE(""https://docs.google.com/spreadsheets/d/1IYY_tgx_IHuhSq3AJ5eI5OnqOPBNLWSHKh2a30DoXe8/edit?usp=sharing"",""ยะลา!J514"")"),0)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IFERROR(__xludf.DUMMYFUNCTION("IMPORTRANGE(""https://docs.google.com/spreadsheets/d/1IYY_tgx_IHuhSq3AJ5eI5OnqOPBNLWSHKh2a30DoXe8/edit?usp=sharing"",""ยะลา!I515"")"),0)</f>
        <v>0</v>
      </c>
      <c r="J620" s="209">
        <f ca="1">IFERROR(__xludf.DUMMYFUNCTION("IMPORTRANGE(""https://docs.google.com/spreadsheets/d/1IYY_tgx_IHuhSq3AJ5eI5OnqOPBNLWSHKh2a30DoXe8/edit?usp=sharing"",""ยะลา!J515"")"),0)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IFERROR(__xludf.DUMMYFUNCTION("IMPORTRANGE(""https://docs.google.com/spreadsheets/d/1IYY_tgx_IHuhSq3AJ5eI5OnqOPBNLWSHKh2a30DoXe8/edit?usp=sharing"",""ยะลา!I516"")"),0)</f>
        <v>0</v>
      </c>
      <c r="J621" s="209">
        <f ca="1">IFERROR(__xludf.DUMMYFUNCTION("IMPORTRANGE(""https://docs.google.com/spreadsheets/d/1IYY_tgx_IHuhSq3AJ5eI5OnqOPBNLWSHKh2a30DoXe8/edit?usp=sharing"",""ยะลา!J516"")"),0)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IFERROR(__xludf.DUMMYFUNCTION("IMPORTRANGE(""https://docs.google.com/spreadsheets/d/1IYY_tgx_IHuhSq3AJ5eI5OnqOPBNLWSHKh2a30DoXe8/edit?usp=sharing"",""ยะลา!I517"")"),0)</f>
        <v>0</v>
      </c>
      <c r="J622" s="195">
        <f ca="1">IFERROR(__xludf.DUMMYFUNCTION("IMPORTRANGE(""https://docs.google.com/spreadsheets/d/1IYY_tgx_IHuhSq3AJ5eI5OnqOPBNLWSHKh2a30DoXe8/edit?usp=sharing"",""ยะลา!J517"")"),0)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IFERROR(__xludf.DUMMYFUNCTION("IMPORTRANGE(""https://docs.google.com/spreadsheets/d/1IYY_tgx_IHuhSq3AJ5eI5OnqOPBNLWSHKh2a30DoXe8/edit?usp=sharing"",""ยะลา!I518"")"),0)</f>
        <v>0</v>
      </c>
      <c r="J623" s="195">
        <f ca="1">IFERROR(__xludf.DUMMYFUNCTION("IMPORTRANGE(""https://docs.google.com/spreadsheets/d/1IYY_tgx_IHuhSq3AJ5eI5OnqOPBNLWSHKh2a30DoXe8/edit?usp=sharing"",""ยะลา!J518"")"),0)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IFERROR(__xludf.DUMMYFUNCTION("IMPORTRANGE(""https://docs.google.com/spreadsheets/d/1IYY_tgx_IHuhSq3AJ5eI5OnqOPBNLWSHKh2a30DoXe8/edit?usp=sharing"",""ยะลา!I519"")"),0)</f>
        <v>0</v>
      </c>
      <c r="J624" s="194">
        <f ca="1">IFERROR(__xludf.DUMMYFUNCTION("IMPORTRANGE(""https://docs.google.com/spreadsheets/d/1IYY_tgx_IHuhSq3AJ5eI5OnqOPBNLWSHKh2a30DoXe8/edit?usp=sharing"",""ยะลา!J519"")"),0)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IFERROR(__xludf.DUMMYFUNCTION("IMPORTRANGE(""https://docs.google.com/spreadsheets/d/1IYY_tgx_IHuhSq3AJ5eI5OnqOPBNLWSHKh2a30DoXe8/edit?usp=sharing"",""ยะลา!I520"")"),0)</f>
        <v>0</v>
      </c>
      <c r="J625" s="195">
        <f ca="1">IFERROR(__xludf.DUMMYFUNCTION("IMPORTRANGE(""https://docs.google.com/spreadsheets/d/1IYY_tgx_IHuhSq3AJ5eI5OnqOPBNLWSHKh2a30DoXe8/edit?usp=sharing"",""ยะลา!J520"")"),0)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IFERROR(__xludf.DUMMYFUNCTION("IMPORTRANGE(""https://docs.google.com/spreadsheets/d/1IYY_tgx_IHuhSq3AJ5eI5OnqOPBNLWSHKh2a30DoXe8/edit?usp=sharing"",""ยะลา!I521"")"),0)</f>
        <v>0</v>
      </c>
      <c r="J626" s="195">
        <f ca="1">IFERROR(__xludf.DUMMYFUNCTION("IMPORTRANGE(""https://docs.google.com/spreadsheets/d/1IYY_tgx_IHuhSq3AJ5eI5OnqOPBNLWSHKh2a30DoXe8/edit?usp=sharing"",""ยะลา!J521"")"),0)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IFERROR(__xludf.DUMMYFUNCTION("IMPORTRANGE(""https://docs.google.com/spreadsheets/d/1IYY_tgx_IHuhSq3AJ5eI5OnqOPBNLWSHKh2a30DoXe8/edit?usp=sharing"",""ยะลา!J523"")"),339171.72)</f>
        <v>339171.72</v>
      </c>
      <c r="K628" s="348">
        <f t="shared" ref="K628:K635" ca="1" si="129">IF(I628&gt;0,J628*100/I628,0)</f>
        <v>56.659463699521304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IFERROR(__xludf.DUMMYFUNCTION("IMPORTRANGE(""https://docs.google.com/spreadsheets/d/1IYY_tgx_IHuhSq3AJ5eI5OnqOPBNLWSHKh2a30DoXe8/edit?usp=sharing"",""ยะลา!J524"")"),33)</f>
        <v>33</v>
      </c>
      <c r="K629" s="348">
        <f t="shared" ca="1" si="129"/>
        <v>63.46153846153846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IFERROR(__xludf.DUMMYFUNCTION("IMPORTRANGE(""https://docs.google.com/spreadsheets/d/1IYY_tgx_IHuhSq3AJ5eI5OnqOPBNLWSHKh2a30DoXe8/edit?usp=sharing"",""ยะลา!J525"")"),28490.19)</f>
        <v>28490.19</v>
      </c>
      <c r="K630" s="348">
        <f t="shared" ca="1" si="129"/>
        <v>161.38367594328668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IFERROR(__xludf.DUMMYFUNCTION("IMPORTRANGE(""https://docs.google.com/spreadsheets/d/1IYY_tgx_IHuhSq3AJ5eI5OnqOPBNLWSHKh2a30DoXe8/edit?usp=sharing"",""ยะลา!J526"")"),5)</f>
        <v>5</v>
      </c>
      <c r="K631" s="348">
        <f t="shared" ca="1" si="129"/>
        <v>500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IFERROR(__xludf.DUMMYFUNCTION("IMPORTRANGE(""https://docs.google.com/spreadsheets/d/1IYY_tgx_IHuhSq3AJ5eI5OnqOPBNLWSHKh2a30DoXe8/edit?usp=sharing"",""ยะลา!J527"")"),26366.43)</f>
        <v>26366.43</v>
      </c>
      <c r="K632" s="348">
        <f t="shared" ca="1" si="129"/>
        <v>50.37272649637476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IFERROR(__xludf.DUMMYFUNCTION("IMPORTRANGE(""https://docs.google.com/spreadsheets/d/1IYY_tgx_IHuhSq3AJ5eI5OnqOPBNLWSHKh2a30DoXe8/edit?usp=sharing"",""ยะลา!J528"")"),62)</f>
        <v>62</v>
      </c>
      <c r="K633" s="348">
        <f t="shared" ca="1" si="129"/>
        <v>41.61073825503356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IFERROR(__xludf.DUMMYFUNCTION("IMPORTRANGE(""https://docs.google.com/spreadsheets/d/1IYY_tgx_IHuhSq3AJ5eI5OnqOPBNLWSHKh2a30DoXe8/edit?usp=sharing"",""ยะลา!I529"")"),510000)</f>
        <v>510000</v>
      </c>
      <c r="J634" s="347">
        <f ca="1">IFERROR(__xludf.DUMMYFUNCTION("IMPORTRANGE(""https://docs.google.com/spreadsheets/d/1IYY_tgx_IHuhSq3AJ5eI5OnqOPBNLWSHKh2a30DoXe8/edit?usp=sharing"",""ยะลา!J529"")"),0)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IFERROR(__xludf.DUMMYFUNCTION("IMPORTRANGE(""https://docs.google.com/spreadsheets/d/1IYY_tgx_IHuhSq3AJ5eI5OnqOPBNLWSHKh2a30DoXe8/edit?usp=sharing"",""ยะลา!I530"")"),17)</f>
        <v>17</v>
      </c>
      <c r="J635" s="518">
        <f ca="1">IFERROR(__xludf.DUMMYFUNCTION("IMPORTRANGE(""https://docs.google.com/spreadsheets/d/1IYY_tgx_IHuhSq3AJ5eI5OnqOPBNLWSHKh2a30DoXe8/edit?usp=sharing"",""ยะลา!J530"")"),0)</f>
        <v>0</v>
      </c>
      <c r="K635" s="493">
        <f t="shared" ca="1" si="129"/>
        <v>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IFERROR(__xludf.DUMMYFUNCTION("IMPORTRANGE(""https://docs.google.com/spreadsheets/d/1IYY_tgx_IHuhSq3AJ5eI5OnqOPBNLWSHKh2a30DoXe8/edit?usp=sharing"",""ยะลา!J541"")"),0)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IFERROR(__xludf.DUMMYFUNCTION("IMPORTRANGE(""https://docs.google.com/spreadsheets/d/1IYY_tgx_IHuhSq3AJ5eI5OnqOPBNLWSHKh2a30DoXe8/edit?usp=sharing"",""ยะลา!J542"")"),0)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IFERROR(__xludf.DUMMYFUNCTION("IMPORTRANGE(""https://docs.google.com/spreadsheets/d/1IYY_tgx_IHuhSq3AJ5eI5OnqOPBNLWSHKh2a30DoXe8/edit?usp=sharing"",""ยะลา!I543"")"),0)</f>
        <v>0</v>
      </c>
      <c r="J648" s="547">
        <f ca="1">IFERROR(__xludf.DUMMYFUNCTION("IMPORTRANGE(""https://docs.google.com/spreadsheets/d/1IYY_tgx_IHuhSq3AJ5eI5OnqOPBNLWSHKh2a30DoXe8/edit?usp=sharing"",""ยะลา!J543"")"),0)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IFERROR(__xludf.DUMMYFUNCTION("IMPORTRANGE(""https://docs.google.com/spreadsheets/d/1IYY_tgx_IHuhSq3AJ5eI5OnqOPBNLWSHKh2a30DoXe8/edit?usp=sharing"",""ยะลา!L543"")"),0)</f>
        <v>0</v>
      </c>
      <c r="M648" s="534"/>
      <c r="N648" s="549">
        <f ca="1">IFERROR(__xludf.DUMMYFUNCTION("IMPORTRANGE(""https://docs.google.com/spreadsheets/d/1IYY_tgx_IHuhSq3AJ5eI5OnqOPBNLWSHKh2a30DoXe8/edit?usp=sharing"",""ยะลา!M543"")"),0)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IFERROR(__xludf.DUMMYFUNCTION("IMPORTRANGE(""https://docs.google.com/spreadsheets/d/1IYY_tgx_IHuhSq3AJ5eI5OnqOPBNLWSHKh2a30DoXe8/edit?usp=sharing"",""ยะลา!I544"")"),0)</f>
        <v>0</v>
      </c>
      <c r="J649" s="547">
        <f ca="1">IFERROR(__xludf.DUMMYFUNCTION("IMPORTRANGE(""https://docs.google.com/spreadsheets/d/1IYY_tgx_IHuhSq3AJ5eI5OnqOPBNLWSHKh2a30DoXe8/edit?usp=sharing"",""ยะลา!J544"")"),0)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IFERROR(__xludf.DUMMYFUNCTION("IMPORTRANGE(""https://docs.google.com/spreadsheets/d/1IYY_tgx_IHuhSq3AJ5eI5OnqOPBNLWSHKh2a30DoXe8/edit?usp=sharing"",""ยะลา!L544"")"),0)</f>
        <v>0</v>
      </c>
      <c r="M649" s="534"/>
      <c r="N649" s="549">
        <f ca="1">IFERROR(__xludf.DUMMYFUNCTION("IMPORTRANGE(""https://docs.google.com/spreadsheets/d/1IYY_tgx_IHuhSq3AJ5eI5OnqOPBNLWSHKh2a30DoXe8/edit?usp=sharing"",""ยะลา!M544"")"),0)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IFERROR(__xludf.DUMMYFUNCTION("IMPORTRANGE(""https://docs.google.com/spreadsheets/d/1IYY_tgx_IHuhSq3AJ5eI5OnqOPBNLWSHKh2a30DoXe8/edit?usp=sharing"",""ยะลา!I545"")"),0)</f>
        <v>0</v>
      </c>
      <c r="J650" s="547">
        <f ca="1">IFERROR(__xludf.DUMMYFUNCTION("IMPORTRANGE(""https://docs.google.com/spreadsheets/d/1IYY_tgx_IHuhSq3AJ5eI5OnqOPBNLWSHKh2a30DoXe8/edit?usp=sharing"",""ยะลา!J545"")"),0)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IFERROR(__xludf.DUMMYFUNCTION("IMPORTRANGE(""https://docs.google.com/spreadsheets/d/1IYY_tgx_IHuhSq3AJ5eI5OnqOPBNLWSHKh2a30DoXe8/edit?usp=sharing"",""ยะลา!L545"")"),0)</f>
        <v>0</v>
      </c>
      <c r="M650" s="534"/>
      <c r="N650" s="549">
        <f ca="1">IFERROR(__xludf.DUMMYFUNCTION("IMPORTRANGE(""https://docs.google.com/spreadsheets/d/1IYY_tgx_IHuhSq3AJ5eI5OnqOPBNLWSHKh2a30DoXe8/edit?usp=sharing"",""ยะลา!M545"")"),0)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IFERROR(__xludf.DUMMYFUNCTION("IMPORTRANGE(""https://docs.google.com/spreadsheets/d/1IYY_tgx_IHuhSq3AJ5eI5OnqOPBNLWSHKh2a30DoXe8/edit?usp=sharing"",""ยะลา!I546"")"),0)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IFERROR(__xludf.DUMMYFUNCTION("IMPORTRANGE(""https://docs.google.com/spreadsheets/d/1IYY_tgx_IHuhSq3AJ5eI5OnqOPBNLWSHKh2a30DoXe8/edit?usp=sharing"",""ยะลา!L546"")"),0)</f>
        <v>0</v>
      </c>
      <c r="M651" s="534"/>
      <c r="N651" s="549">
        <f ca="1">IFERROR(__xludf.DUMMYFUNCTION("IMPORTRANGE(""https://docs.google.com/spreadsheets/d/1IYY_tgx_IHuhSq3AJ5eI5OnqOPBNLWSHKh2a30DoXe8/edit?usp=sharing"",""ยะลา!M546"")"),0)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IFERROR(__xludf.DUMMYFUNCTION("IMPORTRANGE(""https://docs.google.com/spreadsheets/d/1IYY_tgx_IHuhSq3AJ5eI5OnqOPBNLWSHKh2a30DoXe8/edit?usp=sharing"",""ยะลา!J547"")"),0)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IFERROR(__xludf.DUMMYFUNCTION("IMPORTRANGE(""https://docs.google.com/spreadsheets/d/1IYY_tgx_IHuhSq3AJ5eI5OnqOPBNLWSHKh2a30DoXe8/edit?usp=sharing"",""ยะลา!J548"")"),0)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IFERROR(__xludf.DUMMYFUNCTION("IMPORTRANGE(""https://docs.google.com/spreadsheets/d/1IYY_tgx_IHuhSq3AJ5eI5OnqOPBNLWSHKh2a30DoXe8/edit?usp=sharing"",""ยะลา!J550"")"),0)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IFERROR(__xludf.DUMMYFUNCTION("IMPORTRANGE(""https://docs.google.com/spreadsheets/d/1IYY_tgx_IHuhSq3AJ5eI5OnqOPBNLWSHKh2a30DoXe8/edit?usp=sharing"",""ยะลา!J551"")"),0)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IFERROR(__xludf.DUMMYFUNCTION("IMPORTRANGE(""https://docs.google.com/spreadsheets/d/1IYY_tgx_IHuhSq3AJ5eI5OnqOPBNLWSHKh2a30DoXe8/edit?usp=sharing"",""ยะลา!J552"")"),0)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IFERROR(__xludf.DUMMYFUNCTION("IMPORTRANGE(""https://docs.google.com/spreadsheets/d/1IYY_tgx_IHuhSq3AJ5eI5OnqOPBNLWSHKh2a30DoXe8/edit?usp=sharing"",""ยะลา!J553"")"),0)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IFERROR(__xludf.DUMMYFUNCTION("IMPORTRANGE(""https://docs.google.com/spreadsheets/d/1IYY_tgx_IHuhSq3AJ5eI5OnqOPBNLWSHKh2a30DoXe8/edit?usp=sharing"",""ยะลา!J554"")"),0)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IFERROR(__xludf.DUMMYFUNCTION("IMPORTRANGE(""https://docs.google.com/spreadsheets/d/1IYY_tgx_IHuhSq3AJ5eI5OnqOPBNLWSHKh2a30DoXe8/edit?usp=sharing"",""ยะลา!J555"")"),0)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IFERROR(__xludf.DUMMYFUNCTION("IMPORTRANGE(""https://docs.google.com/spreadsheets/d/1IYY_tgx_IHuhSq3AJ5eI5OnqOPBNLWSHKh2a30DoXe8/edit?usp=sharing"",""ยะลา!J556"")"),0)</f>
        <v>0</v>
      </c>
      <c r="K661" s="548"/>
      <c r="L661" s="535">
        <f ca="1">IFERROR(__xludf.DUMMYFUNCTION("IMPORTRANGE(""https://docs.google.com/spreadsheets/d/1IYY_tgx_IHuhSq3AJ5eI5OnqOPBNLWSHKh2a30DoXe8/edit?usp=sharing"",""ยะลา!L556"")"),0)</f>
        <v>0</v>
      </c>
      <c r="M661" s="534"/>
      <c r="N661" s="549">
        <f ca="1">IFERROR(__xludf.DUMMYFUNCTION("IMPORTRANGE(""https://docs.google.com/spreadsheets/d/1IYY_tgx_IHuhSq3AJ5eI5OnqOPBNLWSHKh2a30DoXe8/edit?usp=sharing"",""ยะลา!M556"")"),0)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IFERROR(__xludf.DUMMYFUNCTION("IMPORTRANGE(""https://docs.google.com/spreadsheets/d/1IYY_tgx_IHuhSq3AJ5eI5OnqOPBNLWSHKh2a30DoXe8/edit?usp=sharing"",""ยะลา!J557"")"),0)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IFERROR(__xludf.DUMMYFUNCTION("IMPORTRANGE(""https://docs.google.com/spreadsheets/d/1IYY_tgx_IHuhSq3AJ5eI5OnqOPBNLWSHKh2a30DoXe8/edit?usp=sharing"",""ยะลา!I558"")"),0)</f>
        <v>0</v>
      </c>
      <c r="J663" s="547">
        <f ca="1">IFERROR(__xludf.DUMMYFUNCTION("IMPORTRANGE(""https://docs.google.com/spreadsheets/d/1IYY_tgx_IHuhSq3AJ5eI5OnqOPBNLWSHKh2a30DoXe8/edit?usp=sharing"",""ยะลา!J558"")"),0)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IFERROR(__xludf.DUMMYFUNCTION("IMPORTRANGE(""https://docs.google.com/spreadsheets/d/1IYY_tgx_IHuhSq3AJ5eI5OnqOPBNLWSHKh2a30DoXe8/edit?usp=sharing"",""ยะลา!I560"")"),0)</f>
        <v>0</v>
      </c>
      <c r="J665" s="547">
        <f ca="1">IFERROR(__xludf.DUMMYFUNCTION("IMPORTRANGE(""https://docs.google.com/spreadsheets/d/1IYY_tgx_IHuhSq3AJ5eI5OnqOPBNLWSHKh2a30DoXe8/edit?usp=sharing"",""ยะลา!J560"")"),0)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IFERROR(__xludf.DUMMYFUNCTION("IMPORTRANGE(""https://docs.google.com/spreadsheets/d/1IYY_tgx_IHuhSq3AJ5eI5OnqOPBNLWSHKh2a30DoXe8/edit?usp=sharing"",""ยะลา!L560"")"),0)</f>
        <v>0</v>
      </c>
      <c r="M665" s="534"/>
      <c r="N665" s="549">
        <f ca="1">IFERROR(__xludf.DUMMYFUNCTION("IMPORTRANGE(""https://docs.google.com/spreadsheets/d/1IYY_tgx_IHuhSq3AJ5eI5OnqOPBNLWSHKh2a30DoXe8/edit?usp=sharing"",""ยะลา!M560"")"),0)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IFERROR(__xludf.DUMMYFUNCTION("IMPORTRANGE(""https://docs.google.com/spreadsheets/d/1IYY_tgx_IHuhSq3AJ5eI5OnqOPBNLWSHKh2a30DoXe8/edit?usp=sharing"",""ยะลา!J561"")"),0)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IFERROR(__xludf.DUMMYFUNCTION("IMPORTRANGE(""https://docs.google.com/spreadsheets/d/1IYY_tgx_IHuhSq3AJ5eI5OnqOPBNLWSHKh2a30DoXe8/edit?usp=sharing"",""ยะลา!J562"")"),0)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IFERROR(__xludf.DUMMYFUNCTION("IMPORTRANGE(""https://docs.google.com/spreadsheets/d/1IYY_tgx_IHuhSq3AJ5eI5OnqOPBNLWSHKh2a30DoXe8/edit?usp=sharing"",""ยะลา!I563"")"),0)</f>
        <v>0</v>
      </c>
      <c r="J668" s="547">
        <f ca="1">IFERROR(__xludf.DUMMYFUNCTION("IMPORTRANGE(""https://docs.google.com/spreadsheets/d/1IYY_tgx_IHuhSq3AJ5eI5OnqOPBNLWSHKh2a30DoXe8/edit?usp=sharing"",""ยะลา!J563"")"),0)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IFERROR(__xludf.DUMMYFUNCTION("IMPORTRANGE(""https://docs.google.com/spreadsheets/d/1IYY_tgx_IHuhSq3AJ5eI5OnqOPBNLWSHKh2a30DoXe8/edit?usp=sharing"",""ยะลา!L563"")"),0)</f>
        <v>0</v>
      </c>
      <c r="M668" s="534"/>
      <c r="N668" s="549">
        <f ca="1">IFERROR(__xludf.DUMMYFUNCTION("IMPORTRANGE(""https://docs.google.com/spreadsheets/d/1IYY_tgx_IHuhSq3AJ5eI5OnqOPBNLWSHKh2a30DoXe8/edit?usp=sharing"",""ยะลา!M563"")"),0)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IFERROR(__xludf.DUMMYFUNCTION("IMPORTRANGE(""https://docs.google.com/spreadsheets/d/1IYY_tgx_IHuhSq3AJ5eI5OnqOPBNLWSHKh2a30DoXe8/edit?usp=sharing"",""ยะลา!J564"")"),0)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IFERROR(__xludf.DUMMYFUNCTION("IMPORTRANGE(""https://docs.google.com/spreadsheets/d/1IYY_tgx_IHuhSq3AJ5eI5OnqOPBNLWSHKh2a30DoXe8/edit?usp=sharing"",""ยะลา!J565"")"),0)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IFERROR(__xludf.DUMMYFUNCTION("IMPORTRANGE(""https://docs.google.com/spreadsheets/d/1IYY_tgx_IHuhSq3AJ5eI5OnqOPBNLWSHKh2a30DoXe8/edit?usp=sharing"",""ยะลา!I566"")"),0)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IFERROR(__xludf.DUMMYFUNCTION("IMPORTRANGE(""https://docs.google.com/spreadsheets/d/1IYY_tgx_IHuhSq3AJ5eI5OnqOPBNLWSHKh2a30DoXe8/edit?usp=sharing"",""ยะลา!L566"")"),0)</f>
        <v>0</v>
      </c>
      <c r="M671" s="534"/>
      <c r="N671" s="549">
        <f ca="1">IFERROR(__xludf.DUMMYFUNCTION("IMPORTRANGE(""https://docs.google.com/spreadsheets/d/1IYY_tgx_IHuhSq3AJ5eI5OnqOPBNLWSHKh2a30DoXe8/edit?usp=sharing"",""ยะลา!M566"")"),0)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IFERROR(__xludf.DUMMYFUNCTION("IMPORTRANGE(""https://docs.google.com/spreadsheets/d/1IYY_tgx_IHuhSq3AJ5eI5OnqOPBNLWSHKh2a30DoXe8/edit?usp=sharing"",""ยะลา!J567"")"),0)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IFERROR(__xludf.DUMMYFUNCTION("IMPORTRANGE(""https://docs.google.com/spreadsheets/d/1IYY_tgx_IHuhSq3AJ5eI5OnqOPBNLWSHKh2a30DoXe8/edit?usp=sharing"",""ยะลา!J568"")"),0)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IFERROR(__xludf.DUMMYFUNCTION("IMPORTRANGE(""https://docs.google.com/spreadsheets/d/1IYY_tgx_IHuhSq3AJ5eI5OnqOPBNLWSHKh2a30DoXe8/edit?usp=sharing"",""ยะลา!J569"")"),0)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IFERROR(__xludf.DUMMYFUNCTION("IMPORTRANGE(""https://docs.google.com/spreadsheets/d/1IYY_tgx_IHuhSq3AJ5eI5OnqOPBNLWSHKh2a30DoXe8/edit?usp=sharing"",""ยะลา!J570"")"),0)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IFERROR(__xludf.DUMMYFUNCTION("IMPORTRANGE(""https://docs.google.com/spreadsheets/d/1IYY_tgx_IHuhSq3AJ5eI5OnqOPBNLWSHKh2a30DoXe8/edit?usp=sharing"",""ยะลา!J571"")"),0)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IFERROR(__xludf.DUMMYFUNCTION("IMPORTRANGE(""https://docs.google.com/spreadsheets/d/1IYY_tgx_IHuhSq3AJ5eI5OnqOPBNLWSHKh2a30DoXe8/edit?usp=sharing"",""ยะลา!J572"")"),0)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282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4250872</v>
      </c>
      <c r="M8" s="23">
        <f t="shared" ca="1" si="0"/>
        <v>2767883</v>
      </c>
      <c r="N8" s="23">
        <f t="shared" ca="1" si="0"/>
        <v>3266514.55</v>
      </c>
      <c r="O8" s="22">
        <f t="shared" ref="O8:O16" ca="1" si="1">IF(L8&gt;0,N8*100/L8,0)</f>
        <v>76.843399424870938</v>
      </c>
      <c r="P8" s="22">
        <f t="shared" ref="P8:P16" ca="1" si="2">IF(M8&gt;0,N8*100/M8,0)</f>
        <v>118.0149070607392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4250872</v>
      </c>
      <c r="M10" s="30">
        <f t="shared" ca="1" si="4"/>
        <v>2767883</v>
      </c>
      <c r="N10" s="30">
        <f t="shared" ca="1" si="4"/>
        <v>3266514.55</v>
      </c>
      <c r="O10" s="29">
        <f t="shared" ca="1" si="1"/>
        <v>76.843399424870938</v>
      </c>
      <c r="P10" s="29">
        <f t="shared" ca="1" si="2"/>
        <v>118.0149070607392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3570472</v>
      </c>
      <c r="M12" s="38">
        <f t="shared" ca="1" si="6"/>
        <v>2087483</v>
      </c>
      <c r="N12" s="38">
        <f t="shared" ca="1" si="6"/>
        <v>2553114.5499999998</v>
      </c>
      <c r="O12" s="38">
        <f t="shared" ca="1" si="1"/>
        <v>71.506359663372223</v>
      </c>
      <c r="P12" s="38">
        <f t="shared" ca="1" si="2"/>
        <v>122.30588464672525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1565000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2005472</v>
      </c>
      <c r="M14" s="38">
        <f t="shared" si="8"/>
        <v>0</v>
      </c>
      <c r="N14" s="38">
        <f t="shared" ca="1" si="8"/>
        <v>977124</v>
      </c>
      <c r="O14" s="41">
        <f t="shared" ca="1" si="1"/>
        <v>48.722894161573933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680400</v>
      </c>
      <c r="M16" s="38">
        <f t="shared" ca="1" si="10"/>
        <v>680400</v>
      </c>
      <c r="N16" s="38">
        <f t="shared" ca="1" si="10"/>
        <v>713400</v>
      </c>
      <c r="O16" s="50">
        <f t="shared" ca="1" si="1"/>
        <v>104.85008818342152</v>
      </c>
      <c r="P16" s="50">
        <f t="shared" ca="1" si="2"/>
        <v>104.85008818342152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2682745</v>
      </c>
      <c r="M18" s="23">
        <f t="shared" ca="1" si="11"/>
        <v>2767883</v>
      </c>
      <c r="N18" s="23">
        <f t="shared" ca="1" si="11"/>
        <v>2289390.5499999998</v>
      </c>
      <c r="O18" s="22">
        <f t="shared" ref="O18:O20" ca="1" si="12">IF(L18&gt;0,N18*100/L18,0)</f>
        <v>85.33761315369145</v>
      </c>
      <c r="P18" s="22">
        <f t="shared" ref="P18:P26" ca="1" si="13">IF(M18&gt;0,N18*100/M18,0)</f>
        <v>82.712692335622563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2682745</v>
      </c>
      <c r="M20" s="30">
        <f t="shared" ca="1" si="15"/>
        <v>2767883</v>
      </c>
      <c r="N20" s="30">
        <f t="shared" ca="1" si="15"/>
        <v>2289390.5499999998</v>
      </c>
      <c r="O20" s="29">
        <f t="shared" ca="1" si="12"/>
        <v>85.33761315369145</v>
      </c>
      <c r="P20" s="29">
        <f t="shared" ca="1" si="13"/>
        <v>82.712692335622563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2002345</v>
      </c>
      <c r="M22" s="42">
        <f t="shared" ca="1" si="18"/>
        <v>2087483</v>
      </c>
      <c r="N22" s="41">
        <f t="shared" ca="1" si="18"/>
        <v>1575990.55</v>
      </c>
      <c r="O22" s="41">
        <f t="shared" ca="1" si="17"/>
        <v>78.707243257280837</v>
      </c>
      <c r="P22" s="41">
        <f t="shared" ca="1" si="13"/>
        <v>75.497168120650556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1565000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437345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680400</v>
      </c>
      <c r="M26" s="50">
        <f t="shared" ca="1" si="22"/>
        <v>680400</v>
      </c>
      <c r="N26" s="50">
        <f t="shared" ca="1" si="22"/>
        <v>713400</v>
      </c>
      <c r="O26" s="50">
        <f t="shared" ca="1" si="17"/>
        <v>104.85008818342152</v>
      </c>
      <c r="P26" s="50">
        <f t="shared" ca="1" si="13"/>
        <v>104.85008818342152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1568127</v>
      </c>
      <c r="M28" s="23">
        <f t="shared" si="23"/>
        <v>0</v>
      </c>
      <c r="N28" s="23">
        <f t="shared" ca="1" si="23"/>
        <v>977124</v>
      </c>
      <c r="O28" s="22">
        <f t="shared" ref="O28:O30" ca="1" si="24">IF(L28&gt;0,N28*100/L28,0)</f>
        <v>62.311534716257036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1568127</v>
      </c>
      <c r="M30" s="30">
        <f t="shared" si="27"/>
        <v>0</v>
      </c>
      <c r="N30" s="30">
        <f t="shared" ca="1" si="27"/>
        <v>977124</v>
      </c>
      <c r="O30" s="29">
        <f t="shared" ca="1" si="24"/>
        <v>62.311534716257036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1568127</v>
      </c>
      <c r="M32" s="41">
        <f t="shared" si="30"/>
        <v>0</v>
      </c>
      <c r="N32" s="41">
        <f t="shared" ca="1" si="30"/>
        <v>977124</v>
      </c>
      <c r="O32" s="41">
        <f t="shared" ca="1" si="29"/>
        <v>62.311534716257036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1568127</v>
      </c>
      <c r="M34" s="41">
        <f t="shared" si="32"/>
        <v>0</v>
      </c>
      <c r="N34" s="41">
        <f t="shared" ca="1" si="32"/>
        <v>977124</v>
      </c>
      <c r="O34" s="41">
        <f t="shared" ca="1" si="29"/>
        <v>62.311534716257036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2682745</v>
      </c>
      <c r="M37" s="55">
        <f t="shared" ca="1" si="33"/>
        <v>2767883</v>
      </c>
      <c r="N37" s="55">
        <f t="shared" ca="1" si="33"/>
        <v>2289390.5499999998</v>
      </c>
      <c r="O37" s="56">
        <f t="shared" ca="1" si="29"/>
        <v>85.33761315369145</v>
      </c>
      <c r="P37" s="56">
        <f t="shared" ca="1" si="25"/>
        <v>82.712692335622563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1226000</v>
      </c>
      <c r="M41" s="79">
        <f t="shared" ca="1" si="34"/>
        <v>1226000</v>
      </c>
      <c r="N41" s="79">
        <f t="shared" ca="1" si="34"/>
        <v>1146968.29</v>
      </c>
      <c r="O41" s="78">
        <f t="shared" ref="O41:O43" ca="1" si="35">IF(L41&gt;0,N41*100/L41,0)</f>
        <v>93.553694127243062</v>
      </c>
      <c r="P41" s="78">
        <f t="shared" ref="P41:P43" ca="1" si="36">IF(M41&gt;0,N41*100/M41,0)</f>
        <v>93.553694127243062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1226000</v>
      </c>
      <c r="M43" s="79">
        <f t="shared" ca="1" si="38"/>
        <v>1226000</v>
      </c>
      <c r="N43" s="79">
        <f t="shared" ca="1" si="38"/>
        <v>1146968.29</v>
      </c>
      <c r="O43" s="78">
        <f t="shared" ca="1" si="35"/>
        <v>93.553694127243062</v>
      </c>
      <c r="P43" s="78">
        <f t="shared" ca="1" si="36"/>
        <v>93.553694127243062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638000</v>
      </c>
      <c r="M45" s="91">
        <f ca="1">IFERROR(__xludf.DUMMYFUNCTION("IMPORTRANGE(""https://docs.google.com/spreadsheets/d/1Yj_ptqi66GCucihVvJfMjLAmec39IyEx_6qawtMGysU/edit?usp=sharing"",""สบก!Q91"")"),638000)</f>
        <v>638000</v>
      </c>
      <c r="N45" s="91">
        <f ca="1">IFERROR(__xludf.DUMMYFUNCTION("IMPORTRANGE(""https://docs.google.com/spreadsheets/d/1Yj_ptqi66GCucihVvJfMjLAmec39IyEx_6qawtMGysU/edit?usp=sharing"",""สบก!R91"")"),525968.29)</f>
        <v>525968.29</v>
      </c>
      <c r="O45" s="92">
        <f ca="1">IF(L45&gt;0,N45*100/L45,0)</f>
        <v>82.440170846394977</v>
      </c>
      <c r="P45" s="92">
        <f ca="1">IF(M45&gt;0,N45*100/M45,0)</f>
        <v>82.440170846394977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IFERROR(__xludf.DUMMYFUNCTION("IMPORTRANGE(""https://docs.google.com/spreadsheets/d/1Yj_ptqi66GCucihVvJfMjLAmec39IyEx_6qawtMGysU/edit?usp=sharing"",""สบก!M91"")"),638000)</f>
        <v>638000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IFERROR(__xludf.DUMMYFUNCTION("IMPORTRANGE(""https://docs.google.com/spreadsheets/d/1Yj_ptqi66GCucihVvJfMjLAmec39IyEx_6qawtMGysU/edit?usp=sharing"",""สบก!O91"")"),588000)</f>
        <v>588000</v>
      </c>
      <c r="M49" s="101">
        <f ca="1">L49</f>
        <v>588000</v>
      </c>
      <c r="N49" s="91">
        <f ca="1">IFERROR(__xludf.DUMMYFUNCTION("IMPORTRANGE(""https://docs.google.com/spreadsheets/d/1Yj_ptqi66GCucihVvJfMjLAmec39IyEx_6qawtMGysU/edit?usp=sharing"",""สบก!S91"")"),621000)</f>
        <v>621000</v>
      </c>
      <c r="O49" s="101">
        <f ca="1">IF(L49&gt;0,N49*100/L49,0)</f>
        <v>105.61224489795919</v>
      </c>
      <c r="P49" s="101">
        <f ca="1">IF(M49&gt;0,N49*100/M49,0)</f>
        <v>105.61224489795919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150000</v>
      </c>
      <c r="M53" s="125">
        <f t="shared" ca="1" si="39"/>
        <v>178148</v>
      </c>
      <c r="N53" s="125">
        <f t="shared" ca="1" si="39"/>
        <v>169782</v>
      </c>
      <c r="O53" s="124">
        <f t="shared" ref="O53:O55" ca="1" si="40">IF(L53&gt;0,N53*100/L53,0)</f>
        <v>113.188</v>
      </c>
      <c r="P53" s="124">
        <f t="shared" ref="P53:P55" ca="1" si="41">IF(M53&gt;0,N53*100/M53,0)</f>
        <v>95.303904618631705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150000</v>
      </c>
      <c r="M55" s="125">
        <f t="shared" ca="1" si="43"/>
        <v>178148</v>
      </c>
      <c r="N55" s="125">
        <f t="shared" ca="1" si="43"/>
        <v>169782</v>
      </c>
      <c r="O55" s="124">
        <f t="shared" ca="1" si="40"/>
        <v>113.188</v>
      </c>
      <c r="P55" s="124">
        <f t="shared" ca="1" si="41"/>
        <v>95.303904618631705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150000</v>
      </c>
      <c r="M57" s="91">
        <f ca="1">IFERROR(__xludf.DUMMYFUNCTION("IMPORTRANGE(""https://docs.google.com/spreadsheets/d/1Yj_ptqi66GCucihVvJfMjLAmec39IyEx_6qawtMGysU/edit?usp=sharing"",""สบก!Z91"")"),178148)</f>
        <v>178148</v>
      </c>
      <c r="N57" s="91">
        <f ca="1">IFERROR(__xludf.DUMMYFUNCTION("IMPORTRANGE(""https://docs.google.com/spreadsheets/d/1Yj_ptqi66GCucihVvJfMjLAmec39IyEx_6qawtMGysU/edit?usp=sharing"",""สบก!AA91"")"),169782)</f>
        <v>169782</v>
      </c>
      <c r="O57" s="92">
        <f ca="1">IF(L57&gt;0,N57*100/L57,0)</f>
        <v>113.188</v>
      </c>
      <c r="P57" s="92">
        <f ca="1">IF(M57&gt;0,N57*100/M57,0)</f>
        <v>95.303904618631705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IFERROR(__xludf.DUMMYFUNCTION("IMPORTRANGE(""https://docs.google.com/spreadsheets/d/1Yj_ptqi66GCucihVvJfMjLAmec39IyEx_6qawtMGysU/edit?usp=sharing"",""สบก!V91"")"),150000)</f>
        <v>150000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IFERROR(__xludf.DUMMYFUNCTION("IMPORTRANGE(""https://docs.google.com/spreadsheets/d/1Yj_ptqi66GCucihVvJfMjLAmec39IyEx_6qawtMGysU/edit?usp=sharing"",""สบก!AI91"")"),0)</f>
        <v>0</v>
      </c>
      <c r="N70" s="174">
        <f ca="1">IFERROR(__xludf.DUMMYFUNCTION("IMPORTRANGE(""https://docs.google.com/spreadsheets/d/1Yj_ptqi66GCucihVvJfMjLAmec39IyEx_6qawtMGysU/edit?usp=sharing"",""สบก!AJ91"")"),0)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IFERROR(__xludf.DUMMYFUNCTION("IMPORTRANGE(""https://docs.google.com/spreadsheets/d/1Yj_ptqi66GCucihVvJfMjLAmec39IyEx_6qawtMGysU/edit?usp=sharing"",""สบก!AE91"")"),0)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IFERROR(__xludf.DUMMYFUNCTION("IMPORTRANGE(""https://docs.google.com/spreadsheets/d/1Yj_ptqi66GCucihVvJfMjLAmec39IyEx_6qawtMGysU/edit?usp=sharing"",""สบก!AF91"")"),0)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IFERROR(__xludf.DUMMYFUNCTION("IMPORTRANGE(""https://docs.google.com/spreadsheets/d/1IYY_tgx_IHuhSq3AJ5eI5OnqOPBNLWSHKh2a30DoXe8/edit?usp=sharing"",""ระนอง!J16"")"),0)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IFERROR(__xludf.DUMMYFUNCTION("IMPORTRANGE(""https://docs.google.com/spreadsheets/d/1IYY_tgx_IHuhSq3AJ5eI5OnqOPBNLWSHKh2a30DoXe8/edit?usp=sharing"",""ระนอง!J17"")"),0)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IFERROR(__xludf.DUMMYFUNCTION("IMPORTRANGE(""https://docs.google.com/spreadsheets/d/1IYY_tgx_IHuhSq3AJ5eI5OnqOPBNLWSHKh2a30DoXe8/edit?usp=sharing"",""ระนอง!J18"")"),0)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IFERROR(__xludf.DUMMYFUNCTION("IMPORTRANGE(""https://docs.google.com/spreadsheets/d/1IYY_tgx_IHuhSq3AJ5eI5OnqOPBNLWSHKh2a30DoXe8/edit?usp=sharing"",""ระนอง!J19"")"),0)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IFERROR(__xludf.DUMMYFUNCTION("IMPORTRANGE(""https://docs.google.com/spreadsheets/d/1IYY_tgx_IHuhSq3AJ5eI5OnqOPBNLWSHKh2a30DoXe8/edit?usp=sharing"",""ระนอง!I20"")"),0)</f>
        <v>0</v>
      </c>
      <c r="J80" s="207">
        <f ca="1">IFERROR(__xludf.DUMMYFUNCTION("IMPORTRANGE(""https://docs.google.com/spreadsheets/d/1IYY_tgx_IHuhSq3AJ5eI5OnqOPBNLWSHKh2a30DoXe8/edit?usp=sharing"",""ระนอง!J20"")"),0)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IFERROR(__xludf.DUMMYFUNCTION("IMPORTRANGE(""https://docs.google.com/spreadsheets/d/1IYY_tgx_IHuhSq3AJ5eI5OnqOPBNLWSHKh2a30DoXe8/edit?usp=sharing"",""ระนอง!I21"")"),0)</f>
        <v>0</v>
      </c>
      <c r="J81" s="207">
        <f ca="1">IFERROR(__xludf.DUMMYFUNCTION("IMPORTRANGE(""https://docs.google.com/spreadsheets/d/1IYY_tgx_IHuhSq3AJ5eI5OnqOPBNLWSHKh2a30DoXe8/edit?usp=sharing"",""ระนอง!J21"")"),0)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IFERROR(__xludf.DUMMYFUNCTION("IMPORTRANGE(""https://docs.google.com/spreadsheets/d/1IYY_tgx_IHuhSq3AJ5eI5OnqOPBNLWSHKh2a30DoXe8/edit?usp=sharing"",""ระนอง!I22"")"),0)</f>
        <v>0</v>
      </c>
      <c r="J82" s="210">
        <f ca="1">IFERROR(__xludf.DUMMYFUNCTION("IMPORTRANGE(""https://docs.google.com/spreadsheets/d/1IYY_tgx_IHuhSq3AJ5eI5OnqOPBNLWSHKh2a30DoXe8/edit?usp=sharing"",""ระนอง!J22"")"),0)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IFERROR(__xludf.DUMMYFUNCTION("IMPORTRANGE(""https://docs.google.com/spreadsheets/d/1IYY_tgx_IHuhSq3AJ5eI5OnqOPBNLWSHKh2a30DoXe8/edit?usp=sharing"",""ระนอง!I23"")"),0)</f>
        <v>0</v>
      </c>
      <c r="J83" s="210">
        <f ca="1">IFERROR(__xludf.DUMMYFUNCTION("IMPORTRANGE(""https://docs.google.com/spreadsheets/d/1IYY_tgx_IHuhSq3AJ5eI5OnqOPBNLWSHKh2a30DoXe8/edit?usp=sharing"",""ระนอง!J23"")"),0)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IFERROR(__xludf.DUMMYFUNCTION("IMPORTRANGE(""https://docs.google.com/spreadsheets/d/1IYY_tgx_IHuhSq3AJ5eI5OnqOPBNLWSHKh2a30DoXe8/edit?usp=sharing"",""ระนอง!I24"")"),0)</f>
        <v>0</v>
      </c>
      <c r="J84" s="195">
        <f ca="1">IFERROR(__xludf.DUMMYFUNCTION("IMPORTRANGE(""https://docs.google.com/spreadsheets/d/1IYY_tgx_IHuhSq3AJ5eI5OnqOPBNLWSHKh2a30DoXe8/edit?usp=sharing"",""ระนอง!J24"")"),0)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IFERROR(__xludf.DUMMYFUNCTION("IMPORTRANGE(""https://docs.google.com/spreadsheets/d/1IYY_tgx_IHuhSq3AJ5eI5OnqOPBNLWSHKh2a30DoXe8/edit?usp=sharing"",""ระนอง!I25"")"),0)</f>
        <v>0</v>
      </c>
      <c r="J85" s="195">
        <f ca="1">IFERROR(__xludf.DUMMYFUNCTION("IMPORTRANGE(""https://docs.google.com/spreadsheets/d/1IYY_tgx_IHuhSq3AJ5eI5OnqOPBNLWSHKh2a30DoXe8/edit?usp=sharing"",""ระนอง!J25"")"),0)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IFERROR(__xludf.DUMMYFUNCTION("IMPORTRANGE(""https://docs.google.com/spreadsheets/d/1IYY_tgx_IHuhSq3AJ5eI5OnqOPBNLWSHKh2a30DoXe8/edit?usp=sharing"",""ระนอง!I26"")"),0)</f>
        <v>0</v>
      </c>
      <c r="J86" s="210">
        <f ca="1">IFERROR(__xludf.DUMMYFUNCTION("IMPORTRANGE(""https://docs.google.com/spreadsheets/d/1IYY_tgx_IHuhSq3AJ5eI5OnqOPBNLWSHKh2a30DoXe8/edit?usp=sharing"",""ระนอง!J26"")"),0)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IFERROR(__xludf.DUMMYFUNCTION("IMPORTRANGE(""https://docs.google.com/spreadsheets/d/1IYY_tgx_IHuhSq3AJ5eI5OnqOPBNLWSHKh2a30DoXe8/edit?usp=sharing"",""ระนอง!I27"")"),0)</f>
        <v>0</v>
      </c>
      <c r="J87" s="210">
        <f ca="1">IFERROR(__xludf.DUMMYFUNCTION("IMPORTRANGE(""https://docs.google.com/spreadsheets/d/1IYY_tgx_IHuhSq3AJ5eI5OnqOPBNLWSHKh2a30DoXe8/edit?usp=sharing"",""ระนอง!J27"")"),0)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IFERROR(__xludf.DUMMYFUNCTION("IMPORTRANGE(""https://docs.google.com/spreadsheets/d/1IYY_tgx_IHuhSq3AJ5eI5OnqOPBNLWSHKh2a30DoXe8/edit?usp=sharing"",""ระนอง!I28"")"),0)</f>
        <v>0</v>
      </c>
      <c r="J88" s="210">
        <f ca="1">IFERROR(__xludf.DUMMYFUNCTION("IMPORTRANGE(""https://docs.google.com/spreadsheets/d/1IYY_tgx_IHuhSq3AJ5eI5OnqOPBNLWSHKh2a30DoXe8/edit?usp=sharing"",""ระนอง!J28"")"),0)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IFERROR(__xludf.DUMMYFUNCTION("IMPORTRANGE(""https://docs.google.com/spreadsheets/d/1IYY_tgx_IHuhSq3AJ5eI5OnqOPBNLWSHKh2a30DoXe8/edit?usp=sharing"",""ระนอง!J29"")"),0)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IFERROR(__xludf.DUMMYFUNCTION("IMPORTRANGE(""https://docs.google.com/spreadsheets/d/1IYY_tgx_IHuhSq3AJ5eI5OnqOPBNLWSHKh2a30DoXe8/edit?usp=sharing"",""ระนอง!J30"")"),0)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155965</v>
      </c>
      <c r="O94" s="155">
        <f t="shared" ref="O94:O96" ca="1" si="53">IF(L94&gt;0,N94*100/L94,0)</f>
        <v>72.710955710955716</v>
      </c>
      <c r="P94" s="155">
        <f t="shared" ref="P94:P96" ca="1" si="54">IF(M94&gt;0,N94*100/M94,0)</f>
        <v>72.710955710955716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155965</v>
      </c>
      <c r="O96" s="160">
        <f t="shared" ca="1" si="53"/>
        <v>72.710955710955716</v>
      </c>
      <c r="P96" s="160">
        <f t="shared" ca="1" si="54"/>
        <v>72.710955710955716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IFERROR(__xludf.DUMMYFUNCTION("IMPORTRANGE(""https://docs.google.com/spreadsheets/d/1Yj_ptqi66GCucihVvJfMjLAmec39IyEx_6qawtMGysU/edit?usp=sharing"",""สบก!AR91"")"),122100)</f>
        <v>122100</v>
      </c>
      <c r="N98" s="174">
        <f ca="1">IFERROR(__xludf.DUMMYFUNCTION("IMPORTRANGE(""https://docs.google.com/spreadsheets/d/1Yj_ptqi66GCucihVvJfMjLAmec39IyEx_6qawtMGysU/edit?usp=sharing"",""สบก!AS91"")"),63565)</f>
        <v>63565</v>
      </c>
      <c r="O98" s="175">
        <f ca="1">IF(L98&gt;0,N98*100/L98,0)</f>
        <v>52.059787059787062</v>
      </c>
      <c r="P98" s="175">
        <f ca="1">IF(M98&gt;0,N98*100/M98,0)</f>
        <v>52.059787059787062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IFERROR(__xludf.DUMMYFUNCTION("IMPORTRANGE(""https://docs.google.com/spreadsheets/d/1Yj_ptqi66GCucihVvJfMjLAmec39IyEx_6qawtMGysU/edit?usp=sharing"",""สบก!AO91"")"),122100)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IFERROR(__xludf.DUMMYFUNCTION("IMPORTRANGE(""https://docs.google.com/spreadsheets/d/1IYY_tgx_IHuhSq3AJ5eI5OnqOPBNLWSHKh2a30DoXe8/edit?usp=sharing"",""ระนอง!J39"")"),0)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IFERROR(__xludf.DUMMYFUNCTION("IMPORTRANGE(""https://docs.google.com/spreadsheets/d/1IYY_tgx_IHuhSq3AJ5eI5OnqOPBNLWSHKh2a30DoXe8/edit?usp=sharing"",""ระนอง!J40"")"),1)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IFERROR(__xludf.DUMMYFUNCTION("IMPORTRANGE(""https://docs.google.com/spreadsheets/d/1IYY_tgx_IHuhSq3AJ5eI5OnqOPBNLWSHKh2a30DoXe8/edit?usp=sharing"",""ระนอง!J41"")"),1)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IFERROR(__xludf.DUMMYFUNCTION("IMPORTRANGE(""https://docs.google.com/spreadsheets/d/1IYY_tgx_IHuhSq3AJ5eI5OnqOPBNLWSHKh2a30DoXe8/edit?usp=sharing"",""ระนอง!J42"")"),1)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IFERROR(__xludf.DUMMYFUNCTION("IMPORTRANGE(""https://docs.google.com/spreadsheets/d/1IYY_tgx_IHuhSq3AJ5eI5OnqOPBNLWSHKh2a30DoXe8/edit?usp=sharing"",""ระนอง!I43"")"),1)</f>
        <v>1</v>
      </c>
      <c r="J108" s="210">
        <f ca="1">IFERROR(__xludf.DUMMYFUNCTION("IMPORTRANGE(""https://docs.google.com/spreadsheets/d/1IYY_tgx_IHuhSq3AJ5eI5OnqOPBNLWSHKh2a30DoXe8/edit?usp=sharing"",""ระนอง!J43"")"),1)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IFERROR(__xludf.DUMMYFUNCTION("IMPORTRANGE(""https://docs.google.com/spreadsheets/d/1IYY_tgx_IHuhSq3AJ5eI5OnqOPBNLWSHKh2a30DoXe8/edit?usp=sharing"",""ระนอง!I44"")"),4)</f>
        <v>4</v>
      </c>
      <c r="J109" s="210">
        <f ca="1">IFERROR(__xludf.DUMMYFUNCTION("IMPORTRANGE(""https://docs.google.com/spreadsheets/d/1IYY_tgx_IHuhSq3AJ5eI5OnqOPBNLWSHKh2a30DoXe8/edit?usp=sharing"",""ระนอง!J44"")"),4)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IFERROR(__xludf.DUMMYFUNCTION("IMPORTRANGE(""https://docs.google.com/spreadsheets/d/1IYY_tgx_IHuhSq3AJ5eI5OnqOPBNLWSHKh2a30DoXe8/edit?usp=sharing"",""ระนอง!I45"")"),4)</f>
        <v>4</v>
      </c>
      <c r="J110" s="210">
        <f ca="1">IFERROR(__xludf.DUMMYFUNCTION("IMPORTRANGE(""https://docs.google.com/spreadsheets/d/1IYY_tgx_IHuhSq3AJ5eI5OnqOPBNLWSHKh2a30DoXe8/edit?usp=sharing"",""ระนอง!J45"")"),4)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IFERROR(__xludf.DUMMYFUNCTION("IMPORTRANGE(""https://docs.google.com/spreadsheets/d/1IYY_tgx_IHuhSq3AJ5eI5OnqOPBNLWSHKh2a30DoXe8/edit?usp=sharing"",""ระนอง!I46"")"),4)</f>
        <v>4</v>
      </c>
      <c r="J111" s="210">
        <f ca="1">IFERROR(__xludf.DUMMYFUNCTION("IMPORTRANGE(""https://docs.google.com/spreadsheets/d/1IYY_tgx_IHuhSq3AJ5eI5OnqOPBNLWSHKh2a30DoXe8/edit?usp=sharing"",""ระนอง!J46"")"),4)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IFERROR(__xludf.DUMMYFUNCTION("IMPORTRANGE(""https://docs.google.com/spreadsheets/d/1IYY_tgx_IHuhSq3AJ5eI5OnqOPBNLWSHKh2a30DoXe8/edit?usp=sharing"",""ระนอง!I47"")"),4)</f>
        <v>4</v>
      </c>
      <c r="J112" s="210">
        <f ca="1">IFERROR(__xludf.DUMMYFUNCTION("IMPORTRANGE(""https://docs.google.com/spreadsheets/d/1IYY_tgx_IHuhSq3AJ5eI5OnqOPBNLWSHKh2a30DoXe8/edit?usp=sharing"",""ระนอง!J47"")"),4)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IFERROR(__xludf.DUMMYFUNCTION("IMPORTRANGE(""https://docs.google.com/spreadsheets/d/1IYY_tgx_IHuhSq3AJ5eI5OnqOPBNLWSHKh2a30DoXe8/edit?usp=sharing"",""ระนอง!I48"")"),1)</f>
        <v>1</v>
      </c>
      <c r="J113" s="210">
        <f ca="1">IFERROR(__xludf.DUMMYFUNCTION("IMPORTRANGE(""https://docs.google.com/spreadsheets/d/1IYY_tgx_IHuhSq3AJ5eI5OnqOPBNLWSHKh2a30DoXe8/edit?usp=sharing"",""ระนอง!J48"")"),1)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IFERROR(__xludf.DUMMYFUNCTION("IMPORTRANGE(""https://docs.google.com/spreadsheets/d/1IYY_tgx_IHuhSq3AJ5eI5OnqOPBNLWSHKh2a30DoXe8/edit?usp=sharing"",""ระนอง!J49"")"),0)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IFERROR(__xludf.DUMMYFUNCTION("IMPORTRANGE(""https://docs.google.com/spreadsheets/d/1IYY_tgx_IHuhSq3AJ5eI5OnqOPBNLWSHKh2a30DoXe8/edit?usp=sharing"",""ระนอง!J50"")"),0)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IFERROR(__xludf.DUMMYFUNCTION("IMPORTRANGE(""https://docs.google.com/spreadsheets/d/1Yj_ptqi66GCucihVvJfMjLAmec39IyEx_6qawtMGysU/edit?usp=sharing"",""สบก!BA91"")"),0)</f>
        <v>0</v>
      </c>
      <c r="N122" s="174">
        <f ca="1">IFERROR(__xludf.DUMMYFUNCTION("IMPORTRANGE(""https://docs.google.com/spreadsheets/d/1Yj_ptqi66GCucihVvJfMjLAmec39IyEx_6qawtMGysU/edit?usp=sharing"",""สบก!BB91"")"),0)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IFERROR(__xludf.DUMMYFUNCTION("IMPORTRANGE(""https://docs.google.com/spreadsheets/d/1Yj_ptqi66GCucihVvJfMjLAmec39IyEx_6qawtMGysU/edit?usp=sharing"",""สบก!AX91"")"),0)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IFERROR(__xludf.DUMMYFUNCTION("IMPORTRANGE(""https://docs.google.com/spreadsheets/d/1IYY_tgx_IHuhSq3AJ5eI5OnqOPBNLWSHKh2a30DoXe8/edit?usp=sharing"",""ระนอง!J58"")"),0)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IFERROR(__xludf.DUMMYFUNCTION("IMPORTRANGE(""https://docs.google.com/spreadsheets/d/1IYY_tgx_IHuhSq3AJ5eI5OnqOPBNLWSHKh2a30DoXe8/edit?usp=sharing"",""ระนอง!J59"")"),0)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IFERROR(__xludf.DUMMYFUNCTION("IMPORTRANGE(""https://docs.google.com/spreadsheets/d/1IYY_tgx_IHuhSq3AJ5eI5OnqOPBNLWSHKh2a30DoXe8/edit?usp=sharing"",""ระนอง!J60"")"),0)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IFERROR(__xludf.DUMMYFUNCTION("IMPORTRANGE(""https://docs.google.com/spreadsheets/d/1IYY_tgx_IHuhSq3AJ5eI5OnqOPBNLWSHKh2a30DoXe8/edit?usp=sharing"",""ระนอง!J61"")"),0)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IFERROR(__xludf.DUMMYFUNCTION("IMPORTRANGE(""https://docs.google.com/spreadsheets/d/1IYY_tgx_IHuhSq3AJ5eI5OnqOPBNLWSHKh2a30DoXe8/edit?usp=sharing"",""ระนอง!I62"")"),0)</f>
        <v>0</v>
      </c>
      <c r="J132" s="210">
        <f ca="1">IFERROR(__xludf.DUMMYFUNCTION("IMPORTRANGE(""https://docs.google.com/spreadsheets/d/1IYY_tgx_IHuhSq3AJ5eI5OnqOPBNLWSHKh2a30DoXe8/edit?usp=sharing"",""ระนอง!J62"")"),0)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IFERROR(__xludf.DUMMYFUNCTION("IMPORTRANGE(""https://docs.google.com/spreadsheets/d/1IYY_tgx_IHuhSq3AJ5eI5OnqOPBNLWSHKh2a30DoXe8/edit?usp=sharing"",""ระนอง!I63"")"),0)</f>
        <v>0</v>
      </c>
      <c r="J133" s="210">
        <f ca="1">IFERROR(__xludf.DUMMYFUNCTION("IMPORTRANGE(""https://docs.google.com/spreadsheets/d/1IYY_tgx_IHuhSq3AJ5eI5OnqOPBNLWSHKh2a30DoXe8/edit?usp=sharing"",""ระนอง!J63"")"),0)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IFERROR(__xludf.DUMMYFUNCTION("IMPORTRANGE(""https://docs.google.com/spreadsheets/d/1IYY_tgx_IHuhSq3AJ5eI5OnqOPBNLWSHKh2a30DoXe8/edit?usp=sharing"",""ระนอง!J64"")"),0)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IFERROR(__xludf.DUMMYFUNCTION("IMPORTRANGE(""https://docs.google.com/spreadsheets/d/1IYY_tgx_IHuhSq3AJ5eI5OnqOPBNLWSHKh2a30DoXe8/edit?usp=sharing"",""ระนอง!J65"")"),0)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IFERROR(__xludf.DUMMYFUNCTION("IMPORTRANGE(""https://docs.google.com/spreadsheets/d/1IYY_tgx_IHuhSq3AJ5eI5OnqOPBNLWSHKh2a30DoXe8/edit?usp=sharing"",""ระนอง!I68"")"),0)</f>
        <v>0</v>
      </c>
      <c r="J138" s="273">
        <f ca="1">IFERROR(__xludf.DUMMYFUNCTION("IMPORTRANGE(""https://docs.google.com/spreadsheets/d/1IYY_tgx_IHuhSq3AJ5eI5OnqOPBNLWSHKh2a30DoXe8/edit?usp=sharing"",""ระนอง!J68"")"),0)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43600</v>
      </c>
      <c r="M140" s="156">
        <f t="shared" ca="1" si="64"/>
        <v>51600</v>
      </c>
      <c r="N140" s="156">
        <f t="shared" ca="1" si="64"/>
        <v>39480</v>
      </c>
      <c r="O140" s="155">
        <f t="shared" ref="O140:O142" ca="1" si="65">IF(L140&gt;0,N140*100/L140,0)</f>
        <v>90.550458715596335</v>
      </c>
      <c r="P140" s="155">
        <f t="shared" ref="P140:P142" ca="1" si="66">IF(M140&gt;0,N140*100/M140,0)</f>
        <v>76.511627906976742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43600</v>
      </c>
      <c r="M142" s="161">
        <f t="shared" ca="1" si="68"/>
        <v>51600</v>
      </c>
      <c r="N142" s="161">
        <f t="shared" ca="1" si="68"/>
        <v>39480</v>
      </c>
      <c r="O142" s="160">
        <f t="shared" ca="1" si="65"/>
        <v>90.550458715596335</v>
      </c>
      <c r="P142" s="160">
        <f t="shared" ca="1" si="66"/>
        <v>76.511627906976742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43600</v>
      </c>
      <c r="M144" s="173">
        <f ca="1">IFERROR(__xludf.DUMMYFUNCTION("IMPORTRANGE(""https://docs.google.com/spreadsheets/d/1Yj_ptqi66GCucihVvJfMjLAmec39IyEx_6qawtMGysU/edit?usp=sharing"",""สบก!BJ91"")"),51600)</f>
        <v>51600</v>
      </c>
      <c r="N144" s="174">
        <f ca="1">IFERROR(__xludf.DUMMYFUNCTION("IMPORTRANGE(""https://docs.google.com/spreadsheets/d/1Yj_ptqi66GCucihVvJfMjLAmec39IyEx_6qawtMGysU/edit?usp=sharing"",""สบก!BK91"")"),39480)</f>
        <v>39480</v>
      </c>
      <c r="O144" s="175">
        <f ca="1">IF(L144&gt;0,N144*100/L144,0)</f>
        <v>90.550458715596335</v>
      </c>
      <c r="P144" s="175">
        <f ca="1">IF(M144&gt;0,N144*100/M144,0)</f>
        <v>76.511627906976742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IFERROR(__xludf.DUMMYFUNCTION("IMPORTRANGE(""https://docs.google.com/spreadsheets/d/1Yj_ptqi66GCucihVvJfMjLAmec39IyEx_6qawtMGysU/edit?usp=sharing"",""สบก!BG91"")"),43600)</f>
        <v>43600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IFERROR(__xludf.DUMMYFUNCTION("IMPORTRANGE(""https://docs.google.com/spreadsheets/d/1IYY_tgx_IHuhSq3AJ5eI5OnqOPBNLWSHKh2a30DoXe8/edit?usp=sharing"",""ระนอง!I74"")"),4)</f>
        <v>4</v>
      </c>
      <c r="J149" s="281">
        <f ca="1">IFERROR(__xludf.DUMMYFUNCTION("IMPORTRANGE(""https://docs.google.com/spreadsheets/d/1IYY_tgx_IHuhSq3AJ5eI5OnqOPBNLWSHKh2a30DoXe8/edit?usp=sharing"",""ระนอง!J74"")"),2)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IFERROR(__xludf.DUMMYFUNCTION("IMPORTRANGE(""https://docs.google.com/spreadsheets/d/1IYY_tgx_IHuhSq3AJ5eI5OnqOPBNLWSHKh2a30DoXe8/edit?usp=sharing"",""ระนอง!J79"")"),0)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IFERROR(__xludf.DUMMYFUNCTION("IMPORTRANGE(""https://docs.google.com/spreadsheets/d/1IYY_tgx_IHuhSq3AJ5eI5OnqOPBNLWSHKh2a30DoXe8/edit?usp=sharing"",""ระนอง!J80"")"),1)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IFERROR(__xludf.DUMMYFUNCTION("IMPORTRANGE(""https://docs.google.com/spreadsheets/d/1IYY_tgx_IHuhSq3AJ5eI5OnqOPBNLWSHKh2a30DoXe8/edit?usp=sharing"",""ระนอง!J81"")"),1)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IFERROR(__xludf.DUMMYFUNCTION("IMPORTRANGE(""https://docs.google.com/spreadsheets/d/1IYY_tgx_IHuhSq3AJ5eI5OnqOPBNLWSHKh2a30DoXe8/edit?usp=sharing"",""ระนอง!J82"")"),1)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IFERROR(__xludf.DUMMYFUNCTION("IMPORTRANGE(""https://docs.google.com/spreadsheets/d/1IYY_tgx_IHuhSq3AJ5eI5OnqOPBNLWSHKh2a30DoXe8/edit?usp=sharing"",""ระนอง!I83"")"),4)</f>
        <v>4</v>
      </c>
      <c r="J158" s="195">
        <f ca="1">IFERROR(__xludf.DUMMYFUNCTION("IMPORTRANGE(""https://docs.google.com/spreadsheets/d/1IYY_tgx_IHuhSq3AJ5eI5OnqOPBNLWSHKh2a30DoXe8/edit?usp=sharing"",""ระนอง!J83"")"),2)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IFERROR(__xludf.DUMMYFUNCTION("IMPORTRANGE(""https://docs.google.com/spreadsheets/d/1IYY_tgx_IHuhSq3AJ5eI5OnqOPBNLWSHKh2a30DoXe8/edit?usp=sharing"",""ระนอง!J84"")"),0)</f>
        <v>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IFERROR(__xludf.DUMMYFUNCTION("IMPORTRANGE(""https://docs.google.com/spreadsheets/d/1IYY_tgx_IHuhSq3AJ5eI5OnqOPBNLWSHKh2a30DoXe8/edit?usp=sharing"",""ระนอง!J87"")"),0)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IFERROR(__xludf.DUMMYFUNCTION("IMPORTRANGE(""https://docs.google.com/spreadsheets/d/1IYY_tgx_IHuhSq3AJ5eI5OnqOPBNLWSHKh2a30DoXe8/edit?usp=sharing"",""ระนอง!J88"")"),0)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IFERROR(__xludf.DUMMYFUNCTION("IMPORTRANGE(""https://docs.google.com/spreadsheets/d/1IYY_tgx_IHuhSq3AJ5eI5OnqOPBNLWSHKh2a30DoXe8/edit?usp=sharing"",""ระนอง!J94"")"),0)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IFERROR(__xludf.DUMMYFUNCTION("IMPORTRANGE(""https://docs.google.com/spreadsheets/d/1IYY_tgx_IHuhSq3AJ5eI5OnqOPBNLWSHKh2a30DoXe8/edit?usp=sharing"",""ระนอง!J95"")"),1)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IFERROR(__xludf.DUMMYFUNCTION("IMPORTRANGE(""https://docs.google.com/spreadsheets/d/1IYY_tgx_IHuhSq3AJ5eI5OnqOPBNLWSHKh2a30DoXe8/edit?usp=sharing"",""ระนอง!J96"")"),1)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IFERROR(__xludf.DUMMYFUNCTION("IMPORTRANGE(""https://docs.google.com/spreadsheets/d/1IYY_tgx_IHuhSq3AJ5eI5OnqOPBNLWSHKh2a30DoXe8/edit?usp=sharing"",""ระนอง!J97"")"),1)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IFERROR(__xludf.DUMMYFUNCTION("IMPORTRANGE(""https://docs.google.com/spreadsheets/d/1IYY_tgx_IHuhSq3AJ5eI5OnqOPBNLWSHKh2a30DoXe8/edit?usp=sharing"",""ระนอง!I98"")"),2)</f>
        <v>2</v>
      </c>
      <c r="J173" s="195">
        <f ca="1">IFERROR(__xludf.DUMMYFUNCTION("IMPORTRANGE(""https://docs.google.com/spreadsheets/d/1IYY_tgx_IHuhSq3AJ5eI5OnqOPBNLWSHKh2a30DoXe8/edit?usp=sharing"",""ระนอง!J98"")"),2)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IFERROR(__xludf.DUMMYFUNCTION("IMPORTRANGE(""https://docs.google.com/spreadsheets/d/1IYY_tgx_IHuhSq3AJ5eI5OnqOPBNLWSHKh2a30DoXe8/edit?usp=sharing"",""ระนอง!J99"")"),0)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IFERROR(__xludf.DUMMYFUNCTION("IMPORTRANGE(""https://docs.google.com/spreadsheets/d/1IYY_tgx_IHuhSq3AJ5eI5OnqOPBNLWSHKh2a30DoXe8/edit?usp=sharing"",""ระนอง!J100"")"),0)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IFERROR(__xludf.DUMMYFUNCTION("IMPORTRANGE(""https://docs.google.com/spreadsheets/d/1IYY_tgx_IHuhSq3AJ5eI5OnqOPBNLWSHKh2a30DoXe8/edit?usp=sharing"",""ระนอง!J106"")"),0)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IFERROR(__xludf.DUMMYFUNCTION("IMPORTRANGE(""https://docs.google.com/spreadsheets/d/1IYY_tgx_IHuhSq3AJ5eI5OnqOPBNLWSHKh2a30DoXe8/edit?usp=sharing"",""ระนอง!J107"")"),0)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IFERROR(__xludf.DUMMYFUNCTION("IMPORTRANGE(""https://docs.google.com/spreadsheets/d/1IYY_tgx_IHuhSq3AJ5eI5OnqOPBNLWSHKh2a30DoXe8/edit?usp=sharing"",""ระนอง!J108"")"),0)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IFERROR(__xludf.DUMMYFUNCTION("IMPORTRANGE(""https://docs.google.com/spreadsheets/d/1IYY_tgx_IHuhSq3AJ5eI5OnqOPBNLWSHKh2a30DoXe8/edit?usp=sharing"",""ระนอง!J109"")"),0)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IFERROR(__xludf.DUMMYFUNCTION("IMPORTRANGE(""https://docs.google.com/spreadsheets/d/1IYY_tgx_IHuhSq3AJ5eI5OnqOPBNLWSHKh2a30DoXe8/edit?usp=sharing"",""ระนอง!I110"")"),0)</f>
        <v>0</v>
      </c>
      <c r="J185" s="210">
        <f ca="1">IFERROR(__xludf.DUMMYFUNCTION("IMPORTRANGE(""https://docs.google.com/spreadsheets/d/1IYY_tgx_IHuhSq3AJ5eI5OnqOPBNLWSHKh2a30DoXe8/edit?usp=sharing"",""ระนอง!J110"")"),0)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IFERROR(__xludf.DUMMYFUNCTION("IMPORTRANGE(""https://docs.google.com/spreadsheets/d/1IYY_tgx_IHuhSq3AJ5eI5OnqOPBNLWSHKh2a30DoXe8/edit?usp=sharing"",""ระนอง!I111"")"),0)</f>
        <v>0</v>
      </c>
      <c r="J186" s="210">
        <f ca="1">IFERROR(__xludf.DUMMYFUNCTION("IMPORTRANGE(""https://docs.google.com/spreadsheets/d/1IYY_tgx_IHuhSq3AJ5eI5OnqOPBNLWSHKh2a30DoXe8/edit?usp=sharing"",""ระนอง!J111"")"),0)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IFERROR(__xludf.DUMMYFUNCTION("IMPORTRANGE(""https://docs.google.com/spreadsheets/d/1IYY_tgx_IHuhSq3AJ5eI5OnqOPBNLWSHKh2a30DoXe8/edit?usp=sharing"",""ระนอง!J112"")"),0)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IFERROR(__xludf.DUMMYFUNCTION("IMPORTRANGE(""https://docs.google.com/spreadsheets/d/1IYY_tgx_IHuhSq3AJ5eI5OnqOPBNLWSHKh2a30DoXe8/edit?usp=sharing"",""ระนอง!J113"")"),0)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IFERROR(__xludf.DUMMYFUNCTION("IMPORTRANGE(""https://docs.google.com/spreadsheets/d/1IYY_tgx_IHuhSq3AJ5eI5OnqOPBNLWSHKh2a30DoXe8/edit?usp=sharing"",""ระนอง!J119"")"),0)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IFERROR(__xludf.DUMMYFUNCTION("IMPORTRANGE(""https://docs.google.com/spreadsheets/d/1IYY_tgx_IHuhSq3AJ5eI5OnqOPBNLWSHKh2a30DoXe8/edit?usp=sharing"",""ระนอง!J120"")"),1)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IFERROR(__xludf.DUMMYFUNCTION("IMPORTRANGE(""https://docs.google.com/spreadsheets/d/1IYY_tgx_IHuhSq3AJ5eI5OnqOPBNLWSHKh2a30DoXe8/edit?usp=sharing"",""ระนอง!J121"")"),1)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IFERROR(__xludf.DUMMYFUNCTION("IMPORTRANGE(""https://docs.google.com/spreadsheets/d/1IYY_tgx_IHuhSq3AJ5eI5OnqOPBNLWSHKh2a30DoXe8/edit?usp=sharing"",""ระนอง!J122"")"),1)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IFERROR(__xludf.DUMMYFUNCTION("IMPORTRANGE(""https://docs.google.com/spreadsheets/d/1IYY_tgx_IHuhSq3AJ5eI5OnqOPBNLWSHKh2a30DoXe8/edit?usp=sharing"",""ระนอง!I124"")"),12800)</f>
        <v>12800</v>
      </c>
      <c r="J199" s="195">
        <f ca="1">IFERROR(__xludf.DUMMYFUNCTION("IMPORTRANGE(""https://docs.google.com/spreadsheets/d/1IYY_tgx_IHuhSq3AJ5eI5OnqOPBNLWSHKh2a30DoXe8/edit?usp=sharing"",""ระนอง!J124"")"),0)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IFERROR(__xludf.DUMMYFUNCTION("IMPORTRANGE(""https://docs.google.com/spreadsheets/d/1IYY_tgx_IHuhSq3AJ5eI5OnqOPBNLWSHKh2a30DoXe8/edit?usp=sharing"",""ระนอง!I125"")"),12800)</f>
        <v>12800</v>
      </c>
      <c r="J200" s="195">
        <f ca="1">IFERROR(__xludf.DUMMYFUNCTION("IMPORTRANGE(""https://docs.google.com/spreadsheets/d/1IYY_tgx_IHuhSq3AJ5eI5OnqOPBNLWSHKh2a30DoXe8/edit?usp=sharing"",""ระนอง!J125"")"),0)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IFERROR(__xludf.DUMMYFUNCTION("IMPORTRANGE(""https://docs.google.com/spreadsheets/d/1IYY_tgx_IHuhSq3AJ5eI5OnqOPBNLWSHKh2a30DoXe8/edit?usp=sharing"",""ระนอง!I126"")"),0)</f>
        <v>0</v>
      </c>
      <c r="J201" s="195">
        <f ca="1">IFERROR(__xludf.DUMMYFUNCTION("IMPORTRANGE(""https://docs.google.com/spreadsheets/d/1IYY_tgx_IHuhSq3AJ5eI5OnqOPBNLWSHKh2a30DoXe8/edit?usp=sharing"",""ระนอง!J126"")"),0)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IFERROR(__xludf.DUMMYFUNCTION("IMPORTRANGE(""https://docs.google.com/spreadsheets/d/1IYY_tgx_IHuhSq3AJ5eI5OnqOPBNLWSHKh2a30DoXe8/edit?usp=sharing"",""ระนอง!J127"")"),0)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IFERROR(__xludf.DUMMYFUNCTION("IMPORTRANGE(""https://docs.google.com/spreadsheets/d/1IYY_tgx_IHuhSq3AJ5eI5OnqOPBNLWSHKh2a30DoXe8/edit?usp=sharing"",""ระนอง!J128"")"),0)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IFERROR(__xludf.DUMMYFUNCTION("IMPORTRANGE(""https://docs.google.com/spreadsheets/d/1IYY_tgx_IHuhSq3AJ5eI5OnqOPBNLWSHKh2a30DoXe8/edit?usp=sharing"",""ระนอง!J134"")"),0)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IFERROR(__xludf.DUMMYFUNCTION("IMPORTRANGE(""https://docs.google.com/spreadsheets/d/1IYY_tgx_IHuhSq3AJ5eI5OnqOPBNLWSHKh2a30DoXe8/edit?usp=sharing"",""ระนอง!J135"")"),0)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IFERROR(__xludf.DUMMYFUNCTION("IMPORTRANGE(""https://docs.google.com/spreadsheets/d/1IYY_tgx_IHuhSq3AJ5eI5OnqOPBNLWSHKh2a30DoXe8/edit?usp=sharing"",""ระนอง!J136"")"),0)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IFERROR(__xludf.DUMMYFUNCTION("IMPORTRANGE(""https://docs.google.com/spreadsheets/d/1IYY_tgx_IHuhSq3AJ5eI5OnqOPBNLWSHKh2a30DoXe8/edit?usp=sharing"",""ระนอง!J137"")"),0)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IFERROR(__xludf.DUMMYFUNCTION("IMPORTRANGE(""https://docs.google.com/spreadsheets/d/1IYY_tgx_IHuhSq3AJ5eI5OnqOPBNLWSHKh2a30DoXe8/edit?usp=sharing"",""ระนอง!I138"")"),0)</f>
        <v>0</v>
      </c>
      <c r="J213" s="210">
        <f ca="1">IFERROR(__xludf.DUMMYFUNCTION("IMPORTRANGE(""https://docs.google.com/spreadsheets/d/1IYY_tgx_IHuhSq3AJ5eI5OnqOPBNLWSHKh2a30DoXe8/edit?usp=sharing"",""ระนอง!J138"")"),0)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IFERROR(__xludf.DUMMYFUNCTION("IMPORTRANGE(""https://docs.google.com/spreadsheets/d/1IYY_tgx_IHuhSq3AJ5eI5OnqOPBNLWSHKh2a30DoXe8/edit?usp=sharing"",""ระนอง!I140"")"),0)</f>
        <v>0</v>
      </c>
      <c r="J215" s="210">
        <f ca="1">IFERROR(__xludf.DUMMYFUNCTION("IMPORTRANGE(""https://docs.google.com/spreadsheets/d/1IYY_tgx_IHuhSq3AJ5eI5OnqOPBNLWSHKh2a30DoXe8/edit?usp=sharing"",""ระนอง!J140"")"),0)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IFERROR(__xludf.DUMMYFUNCTION("IMPORTRANGE(""https://docs.google.com/spreadsheets/d/1IYY_tgx_IHuhSq3AJ5eI5OnqOPBNLWSHKh2a30DoXe8/edit?usp=sharing"",""ระนอง!I141"")"),0)</f>
        <v>0</v>
      </c>
      <c r="J216" s="210">
        <f ca="1">IFERROR(__xludf.DUMMYFUNCTION("IMPORTRANGE(""https://docs.google.com/spreadsheets/d/1IYY_tgx_IHuhSq3AJ5eI5OnqOPBNLWSHKh2a30DoXe8/edit?usp=sharing"",""ระนอง!J141"")"),0)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IFERROR(__xludf.DUMMYFUNCTION("IMPORTRANGE(""https://docs.google.com/spreadsheets/d/1IYY_tgx_IHuhSq3AJ5eI5OnqOPBNLWSHKh2a30DoXe8/edit?usp=sharing"",""ระนอง!J142"")"),0)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IFERROR(__xludf.DUMMYFUNCTION("IMPORTRANGE(""https://docs.google.com/spreadsheets/d/1IYY_tgx_IHuhSq3AJ5eI5OnqOPBNLWSHKh2a30DoXe8/edit?usp=sharing"",""ระนอง!J143"")"),0)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IFERROR(__xludf.DUMMYFUNCTION("IMPORTRANGE(""https://docs.google.com/spreadsheets/d/1IYY_tgx_IHuhSq3AJ5eI5OnqOPBNLWSHKh2a30DoXe8/edit?usp=sharing"",""ระนอง!I144"")"),13)</f>
        <v>13</v>
      </c>
      <c r="J219" s="273">
        <f ca="1">IFERROR(__xludf.DUMMYFUNCTION("IMPORTRANGE(""https://docs.google.com/spreadsheets/d/1IYY_tgx_IHuhSq3AJ5eI5OnqOPBNLWSHKh2a30DoXe8/edit?usp=sharing"",""ระนอง!J144"")"),13)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IFERROR(__xludf.DUMMYFUNCTION("IMPORTRANGE(""https://docs.google.com/spreadsheets/d/1Yj_ptqi66GCucihVvJfMjLAmec39IyEx_6qawtMGysU/edit?usp=sharing"",""สบก!BS91"")"),19295)</f>
        <v>19295</v>
      </c>
      <c r="N224" s="174">
        <f ca="1">IFERROR(__xludf.DUMMYFUNCTION("IMPORTRANGE(""https://docs.google.com/spreadsheets/d/1Yj_ptqi66GCucihVvJfMjLAmec39IyEx_6qawtMGysU/edit?usp=sharing"",""สบก!BT91"")"),19295)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IFERROR(__xludf.DUMMYFUNCTION("IMPORTRANGE(""https://docs.google.com/spreadsheets/d/1IYY_tgx_IHuhSq3AJ5eI5OnqOPBNLWSHKh2a30DoXe8/edit?usp=sharing"",""ระนอง!I149"")"),13)</f>
        <v>13</v>
      </c>
      <c r="J229" s="273">
        <f ca="1">IFERROR(__xludf.DUMMYFUNCTION("IMPORTRANGE(""https://docs.google.com/spreadsheets/d/1IYY_tgx_IHuhSq3AJ5eI5OnqOPBNLWSHKh2a30DoXe8/edit?usp=sharing"",""ระนอง!J149"")"),13)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IFERROR(__xludf.DUMMYFUNCTION("IMPORTRANGE(""https://docs.google.com/spreadsheets/d/1IYY_tgx_IHuhSq3AJ5eI5OnqOPBNLWSHKh2a30DoXe8/edit?usp=sharing"",""ระนอง!J151"")"),0)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IFERROR(__xludf.DUMMYFUNCTION("IMPORTRANGE(""https://docs.google.com/spreadsheets/d/1IYY_tgx_IHuhSq3AJ5eI5OnqOPBNLWSHKh2a30DoXe8/edit?usp=sharing"",""ระนอง!J152"")"),1)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IFERROR(__xludf.DUMMYFUNCTION("IMPORTRANGE(""https://docs.google.com/spreadsheets/d/1IYY_tgx_IHuhSq3AJ5eI5OnqOPBNLWSHKh2a30DoXe8/edit?usp=sharing"",""ระนอง!J153"")"),1)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IFERROR(__xludf.DUMMYFUNCTION("IMPORTRANGE(""https://docs.google.com/spreadsheets/d/1IYY_tgx_IHuhSq3AJ5eI5OnqOPBNLWSHKh2a30DoXe8/edit?usp=sharing"",""ระนอง!J154"")"),1)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IFERROR(__xludf.DUMMYFUNCTION("IMPORTRANGE(""https://docs.google.com/spreadsheets/d/1IYY_tgx_IHuhSq3AJ5eI5OnqOPBNLWSHKh2a30DoXe8/edit?usp=sharing"",""ระนอง!I155"")"),13)</f>
        <v>13</v>
      </c>
      <c r="J235" s="195">
        <f ca="1">IFERROR(__xludf.DUMMYFUNCTION("IMPORTRANGE(""https://docs.google.com/spreadsheets/d/1IYY_tgx_IHuhSq3AJ5eI5OnqOPBNLWSHKh2a30DoXe8/edit?usp=sharing"",""ระนอง!J155"")"),13)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IFERROR(__xludf.DUMMYFUNCTION("IMPORTRANGE(""https://docs.google.com/spreadsheets/d/1IYY_tgx_IHuhSq3AJ5eI5OnqOPBNLWSHKh2a30DoXe8/edit?usp=sharing"",""ระนอง!J156"")"),0)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IFERROR(__xludf.DUMMYFUNCTION("IMPORTRANGE(""https://docs.google.com/spreadsheets/d/1IYY_tgx_IHuhSq3AJ5eI5OnqOPBNLWSHKh2a30DoXe8/edit?usp=sharing"",""ระนอง!J157"")"),0)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IFERROR(__xludf.DUMMYFUNCTION("IMPORTRANGE(""https://docs.google.com/spreadsheets/d/1IYY_tgx_IHuhSq3AJ5eI5OnqOPBNLWSHKh2a30DoXe8/edit?usp=sharing"",""ระนอง!I158"")"),0)</f>
        <v>0</v>
      </c>
      <c r="J238" s="273">
        <f ca="1">IFERROR(__xludf.DUMMYFUNCTION("IMPORTRANGE(""https://docs.google.com/spreadsheets/d/1IYY_tgx_IHuhSq3AJ5eI5OnqOPBNLWSHKh2a30DoXe8/edit?usp=sharing"",""ระนอง!J158"")"),0)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IFERROR(__xludf.DUMMYFUNCTION("IMPORTRANGE(""https://docs.google.com/spreadsheets/d/1IYY_tgx_IHuhSq3AJ5eI5OnqOPBNLWSHKh2a30DoXe8/edit?usp=sharing"",""ระนอง!J159"")"),"")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IFERROR(__xludf.DUMMYFUNCTION("IMPORTRANGE(""https://docs.google.com/spreadsheets/d/1IYY_tgx_IHuhSq3AJ5eI5OnqOPBNLWSHKh2a30DoXe8/edit?usp=sharing"",""ระนอง!J161"")"),0)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IFERROR(__xludf.DUMMYFUNCTION("IMPORTRANGE(""https://docs.google.com/spreadsheets/d/1IYY_tgx_IHuhSq3AJ5eI5OnqOPBNLWSHKh2a30DoXe8/edit?usp=sharing"",""ระนอง!J162"")"),0)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IFERROR(__xludf.DUMMYFUNCTION("IMPORTRANGE(""https://docs.google.com/spreadsheets/d/1IYY_tgx_IHuhSq3AJ5eI5OnqOPBNLWSHKh2a30DoXe8/edit?usp=sharing"",""ระนอง!J163"")"),0)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IFERROR(__xludf.DUMMYFUNCTION("IMPORTRANGE(""https://docs.google.com/spreadsheets/d/1IYY_tgx_IHuhSq3AJ5eI5OnqOPBNLWSHKh2a30DoXe8/edit?usp=sharing"",""ระนอง!I164"")"),0)</f>
        <v>0</v>
      </c>
      <c r="J244" s="194">
        <f ca="1">IFERROR(__xludf.DUMMYFUNCTION("IMPORTRANGE(""https://docs.google.com/spreadsheets/d/1IYY_tgx_IHuhSq3AJ5eI5OnqOPBNLWSHKh2a30DoXe8/edit?usp=sharing"",""ระนอง!J164"")"),0)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IFERROR(__xludf.DUMMYFUNCTION("IMPORTRANGE(""https://docs.google.com/spreadsheets/d/1IYY_tgx_IHuhSq3AJ5eI5OnqOPBNLWSHKh2a30DoXe8/edit?usp=sharing"",""ระนอง!J165"")"),0)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IFERROR(__xludf.DUMMYFUNCTION("IMPORTRANGE(""https://docs.google.com/spreadsheets/d/1Yj_ptqi66GCucihVvJfMjLAmec39IyEx_6qawtMGysU/edit?usp=sharing"",""สบก!CB91"")"),0)</f>
        <v>0</v>
      </c>
      <c r="N254" s="174">
        <f ca="1">IFERROR(__xludf.DUMMYFUNCTION("IMPORTRANGE(""https://docs.google.com/spreadsheets/d/1Yj_ptqi66GCucihVvJfMjLAmec39IyEx_6qawtMGysU/edit?usp=sharing"",""สบก!CC91"")"),0)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IFERROR(__xludf.DUMMYFUNCTION("IMPORTRANGE(""https://docs.google.com/spreadsheets/d/1IYY_tgx_IHuhSq3AJ5eI5OnqOPBNLWSHKh2a30DoXe8/edit?usp=sharing"",""ระนอง!J175"")"),0)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IFERROR(__xludf.DUMMYFUNCTION("IMPORTRANGE(""https://docs.google.com/spreadsheets/d/1IYY_tgx_IHuhSq3AJ5eI5OnqOPBNLWSHKh2a30DoXe8/edit?usp=sharing"",""ระนอง!J176"")"),0)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IFERROR(__xludf.DUMMYFUNCTION("IMPORTRANGE(""https://docs.google.com/spreadsheets/d/1IYY_tgx_IHuhSq3AJ5eI5OnqOPBNLWSHKh2a30DoXe8/edit?usp=sharing"",""ระนอง!J177"")"),0)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IFERROR(__xludf.DUMMYFUNCTION("IMPORTRANGE(""https://docs.google.com/spreadsheets/d/1IYY_tgx_IHuhSq3AJ5eI5OnqOPBNLWSHKh2a30DoXe8/edit?usp=sharing"",""ระนอง!J178"")"),0)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IFERROR(__xludf.DUMMYFUNCTION("IMPORTRANGE(""https://docs.google.com/spreadsheets/d/1IYY_tgx_IHuhSq3AJ5eI5OnqOPBNLWSHKh2a30DoXe8/edit?usp=sharing"",""ระนอง!I179"")"),0)</f>
        <v>0</v>
      </c>
      <c r="J264" s="195">
        <f ca="1">IFERROR(__xludf.DUMMYFUNCTION("IMPORTRANGE(""https://docs.google.com/spreadsheets/d/1IYY_tgx_IHuhSq3AJ5eI5OnqOPBNLWSHKh2a30DoXe8/edit?usp=sharing"",""ระนอง!J179"")"),0)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IFERROR(__xludf.DUMMYFUNCTION("IMPORTRANGE(""https://docs.google.com/spreadsheets/d/1IYY_tgx_IHuhSq3AJ5eI5OnqOPBNLWSHKh2a30DoXe8/edit?usp=sharing"",""ระนอง!I180"")"),0)</f>
        <v>0</v>
      </c>
      <c r="J265" s="195">
        <f ca="1">IFERROR(__xludf.DUMMYFUNCTION("IMPORTRANGE(""https://docs.google.com/spreadsheets/d/1IYY_tgx_IHuhSq3AJ5eI5OnqOPBNLWSHKh2a30DoXe8/edit?usp=sharing"",""ระนอง!J180"")"),0)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IFERROR(__xludf.DUMMYFUNCTION("IMPORTRANGE(""https://docs.google.com/spreadsheets/d/1IYY_tgx_IHuhSq3AJ5eI5OnqOPBNLWSHKh2a30DoXe8/edit?usp=sharing"",""ระนอง!I181"")"),0)</f>
        <v>0</v>
      </c>
      <c r="J266" s="195">
        <f ca="1">IFERROR(__xludf.DUMMYFUNCTION("IMPORTRANGE(""https://docs.google.com/spreadsheets/d/1IYY_tgx_IHuhSq3AJ5eI5OnqOPBNLWSHKh2a30DoXe8/edit?usp=sharing"",""ระนอง!J181"")"),0)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IFERROR(__xludf.DUMMYFUNCTION("IMPORTRANGE(""https://docs.google.com/spreadsheets/d/1IYY_tgx_IHuhSq3AJ5eI5OnqOPBNLWSHKh2a30DoXe8/edit?usp=sharing"",""ระนอง!I182"")"),0)</f>
        <v>0</v>
      </c>
      <c r="J267" s="195">
        <f ca="1">IFERROR(__xludf.DUMMYFUNCTION("IMPORTRANGE(""https://docs.google.com/spreadsheets/d/1IYY_tgx_IHuhSq3AJ5eI5OnqOPBNLWSHKh2a30DoXe8/edit?usp=sharing"",""ระนอง!J182"")"),0)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IFERROR(__xludf.DUMMYFUNCTION("IMPORTRANGE(""https://docs.google.com/spreadsheets/d/1IYY_tgx_IHuhSq3AJ5eI5OnqOPBNLWSHKh2a30DoXe8/edit?usp=sharing"",""ระนอง!J183"")"),0)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IFERROR(__xludf.DUMMYFUNCTION("IMPORTRANGE(""https://docs.google.com/spreadsheets/d/1Yj_ptqi66GCucihVvJfMjLAmec39IyEx_6qawtMGysU/edit?usp=sharing"",""สบก!CK91"")"),0)</f>
        <v>0</v>
      </c>
      <c r="N275" s="174">
        <f ca="1">IFERROR(__xludf.DUMMYFUNCTION("IMPORTRANGE(""https://docs.google.com/spreadsheets/d/1Yj_ptqi66GCucihVvJfMjLAmec39IyEx_6qawtMGysU/edit?usp=sharing"",""สบก!CL91"")"),0)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IFERROR(__xludf.DUMMYFUNCTION("IMPORTRANGE(""https://docs.google.com/spreadsheets/d/1IYY_tgx_IHuhSq3AJ5eI5OnqOPBNLWSHKh2a30DoXe8/edit?usp=sharing"",""ระนอง!J191"")"),0)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IFERROR(__xludf.DUMMYFUNCTION("IMPORTRANGE(""https://docs.google.com/spreadsheets/d/1IYY_tgx_IHuhSq3AJ5eI5OnqOPBNLWSHKh2a30DoXe8/edit?usp=sharing"",""ระนอง!J192"")"),0)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IFERROR(__xludf.DUMMYFUNCTION("IMPORTRANGE(""https://docs.google.com/spreadsheets/d/1IYY_tgx_IHuhSq3AJ5eI5OnqOPBNLWSHKh2a30DoXe8/edit?usp=sharing"",""ระนอง!J193"")"),0)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IFERROR(__xludf.DUMMYFUNCTION("IMPORTRANGE(""https://docs.google.com/spreadsheets/d/1IYY_tgx_IHuhSq3AJ5eI5OnqOPBNLWSHKh2a30DoXe8/edit?usp=sharing"",""ระนอง!J194"")"),0)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IFERROR(__xludf.DUMMYFUNCTION("IMPORTRANGE(""https://docs.google.com/spreadsheets/d/1IYY_tgx_IHuhSq3AJ5eI5OnqOPBNLWSHKh2a30DoXe8/edit?usp=sharing"",""ระนอง!I195"")"),0)</f>
        <v>0</v>
      </c>
      <c r="J285" s="195">
        <f ca="1">IFERROR(__xludf.DUMMYFUNCTION("IMPORTRANGE(""https://docs.google.com/spreadsheets/d/1IYY_tgx_IHuhSq3AJ5eI5OnqOPBNLWSHKh2a30DoXe8/edit?usp=sharing"",""ระนอง!J195"")"),0)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IFERROR(__xludf.DUMMYFUNCTION("IMPORTRANGE(""https://docs.google.com/spreadsheets/d/1IYY_tgx_IHuhSq3AJ5eI5OnqOPBNLWSHKh2a30DoXe8/edit?usp=sharing"",""ระนอง!J196"")"),0)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IFERROR(__xludf.DUMMYFUNCTION("IMPORTRANGE(""https://docs.google.com/spreadsheets/d/1IYY_tgx_IHuhSq3AJ5eI5OnqOPBNLWSHKh2a30DoXe8/edit?usp=sharing"",""ระนอง!J197"")"),0)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IFERROR(__xludf.DUMMYFUNCTION("IMPORTRANGE(""https://docs.google.com/spreadsheets/d/1Yj_ptqi66GCucihVvJfMjLAmec39IyEx_6qawtMGysU/edit?usp=sharing"",""สบก!CT91"")"),0)</f>
        <v>0</v>
      </c>
      <c r="N294" s="174">
        <f ca="1">IFERROR(__xludf.DUMMYFUNCTION("IMPORTRANGE(""https://docs.google.com/spreadsheets/d/1Yj_ptqi66GCucihVvJfMjLAmec39IyEx_6qawtMGysU/edit?usp=sharing"",""สบก!CU91"")"),0)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IFERROR(__xludf.DUMMYFUNCTION("IMPORTRANGE(""https://docs.google.com/spreadsheets/d/1Yj_ptqi66GCucihVvJfMjLAmec39IyEx_6qawtMGysU/edit?usp=sharing"",""สบก!CQ91"")"),0)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IFERROR(__xludf.DUMMYFUNCTION("IMPORTRANGE(""https://docs.google.com/spreadsheets/d/1IYY_tgx_IHuhSq3AJ5eI5OnqOPBNLWSHKh2a30DoXe8/edit?usp=sharing"",""ระนอง!J205"")"),0)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IFERROR(__xludf.DUMMYFUNCTION("IMPORTRANGE(""https://docs.google.com/spreadsheets/d/1IYY_tgx_IHuhSq3AJ5eI5OnqOPBNLWSHKh2a30DoXe8/edit?usp=sharing"",""ระนอง!J206"")"),0)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IFERROR(__xludf.DUMMYFUNCTION("IMPORTRANGE(""https://docs.google.com/spreadsheets/d/1IYY_tgx_IHuhSq3AJ5eI5OnqOPBNLWSHKh2a30DoXe8/edit?usp=sharing"",""ระนอง!J207"")"),0)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IFERROR(__xludf.DUMMYFUNCTION("IMPORTRANGE(""https://docs.google.com/spreadsheets/d/1IYY_tgx_IHuhSq3AJ5eI5OnqOPBNLWSHKh2a30DoXe8/edit?usp=sharing"",""ระนอง!J208"")"),0)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IFERROR(__xludf.DUMMYFUNCTION("IMPORTRANGE(""https://docs.google.com/spreadsheets/d/1IYY_tgx_IHuhSq3AJ5eI5OnqOPBNLWSHKh2a30DoXe8/edit?usp=sharing"",""ระนอง!I209"")"),0)</f>
        <v>0</v>
      </c>
      <c r="J304" s="210">
        <f ca="1">IFERROR(__xludf.DUMMYFUNCTION("IMPORTRANGE(""https://docs.google.com/spreadsheets/d/1IYY_tgx_IHuhSq3AJ5eI5OnqOPBNLWSHKh2a30DoXe8/edit?usp=sharing"",""ระนอง!J209"")"),0)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IFERROR(__xludf.DUMMYFUNCTION("IMPORTRANGE(""https://docs.google.com/spreadsheets/d/1IYY_tgx_IHuhSq3AJ5eI5OnqOPBNLWSHKh2a30DoXe8/edit?usp=sharing"",""ระนอง!I211"")"),0)</f>
        <v>0</v>
      </c>
      <c r="J306" s="210">
        <f ca="1">IFERROR(__xludf.DUMMYFUNCTION("IMPORTRANGE(""https://docs.google.com/spreadsheets/d/1IYY_tgx_IHuhSq3AJ5eI5OnqOPBNLWSHKh2a30DoXe8/edit?usp=sharing"",""ระนอง!J211"")"),0)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IFERROR(__xludf.DUMMYFUNCTION("IMPORTRANGE(""https://docs.google.com/spreadsheets/d/1IYY_tgx_IHuhSq3AJ5eI5OnqOPBNLWSHKh2a30DoXe8/edit?usp=sharing"",""ระนอง!J212"")"),0)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IFERROR(__xludf.DUMMYFUNCTION("IMPORTRANGE(""https://docs.google.com/spreadsheets/d/1Yj_ptqi66GCucihVvJfMjLAmec39IyEx_6qawtMGysU/edit?usp=sharing"",""สบก!DC91"")"),0)</f>
        <v>0</v>
      </c>
      <c r="N314" s="174">
        <f ca="1">IFERROR(__xludf.DUMMYFUNCTION("IMPORTRANGE(""https://docs.google.com/spreadsheets/d/1Yj_ptqi66GCucihVvJfMjLAmec39IyEx_6qawtMGysU/edit?usp=sharing"",""สบก!DD91"")"),0)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IFERROR(__xludf.DUMMYFUNCTION("IMPORTRANGE(""https://docs.google.com/spreadsheets/d/1Yj_ptqi66GCucihVvJfMjLAmec39IyEx_6qawtMGysU/edit?usp=sharing"",""สบก!CZ91"")"),0)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IFERROR(__xludf.DUMMYFUNCTION("IMPORTRANGE(""https://docs.google.com/spreadsheets/d/1IYY_tgx_IHuhSq3AJ5eI5OnqOPBNLWSHKh2a30DoXe8/edit?usp=sharing"",""ระนอง!J220"")"),0)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IFERROR(__xludf.DUMMYFUNCTION("IMPORTRANGE(""https://docs.google.com/spreadsheets/d/1IYY_tgx_IHuhSq3AJ5eI5OnqOPBNLWSHKh2a30DoXe8/edit?usp=sharing"",""ระนอง!J221"")"),0)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IFERROR(__xludf.DUMMYFUNCTION("IMPORTRANGE(""https://docs.google.com/spreadsheets/d/1IYY_tgx_IHuhSq3AJ5eI5OnqOPBNLWSHKh2a30DoXe8/edit?usp=sharing"",""ระนอง!J222"")"),0)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IFERROR(__xludf.DUMMYFUNCTION("IMPORTRANGE(""https://docs.google.com/spreadsheets/d/1IYY_tgx_IHuhSq3AJ5eI5OnqOPBNLWSHKh2a30DoXe8/edit?usp=sharing"",""ระนอง!J223"")"),0)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IFERROR(__xludf.DUMMYFUNCTION("IMPORTRANGE(""https://docs.google.com/spreadsheets/d/1IYY_tgx_IHuhSq3AJ5eI5OnqOPBNLWSHKh2a30DoXe8/edit?usp=sharing"",""ระนอง!I224"")"),0)</f>
        <v>0</v>
      </c>
      <c r="J324" s="210">
        <f ca="1">IFERROR(__xludf.DUMMYFUNCTION("IMPORTRANGE(""https://docs.google.com/spreadsheets/d/1IYY_tgx_IHuhSq3AJ5eI5OnqOPBNLWSHKh2a30DoXe8/edit?usp=sharing"",""ระนอง!J224"")"),0)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IFERROR(__xludf.DUMMYFUNCTION("IMPORTRANGE(""https://docs.google.com/spreadsheets/d/1IYY_tgx_IHuhSq3AJ5eI5OnqOPBNLWSHKh2a30DoXe8/edit?usp=sharing"",""ระนอง!J225"")"),0)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IFERROR(__xludf.DUMMYFUNCTION("IMPORTRANGE(""https://docs.google.com/spreadsheets/d/1IYY_tgx_IHuhSq3AJ5eI5OnqOPBNLWSHKh2a30DoXe8/edit?usp=sharing"",""ระนอง!J226"")"),0)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IFERROR(__xludf.DUMMYFUNCTION("IMPORTRANGE(""https://docs.google.com/spreadsheets/d/1IYY_tgx_IHuhSq3AJ5eI5OnqOPBNLWSHKh2a30DoXe8/edit?usp=sharing"",""ระนอง!J228"")"),67)</f>
        <v>67</v>
      </c>
      <c r="K328" s="323">
        <f ca="1">IF(I328&gt;0,J328*100/I328,0)</f>
        <v>89.333333333333329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1029350</v>
      </c>
      <c r="M329" s="156">
        <f t="shared" ca="1" si="98"/>
        <v>1078340</v>
      </c>
      <c r="N329" s="156">
        <f t="shared" ca="1" si="98"/>
        <v>757900.26</v>
      </c>
      <c r="O329" s="155">
        <f t="shared" ref="O329:O331" ca="1" si="99">IF(L329&gt;0,N329*100/L329,0)</f>
        <v>73.629014426579886</v>
      </c>
      <c r="P329" s="155">
        <f t="shared" ref="P329:P331" ca="1" si="100">IF(M329&gt;0,N329*100/M329,0)</f>
        <v>70.283979078954687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1029350</v>
      </c>
      <c r="M331" s="161">
        <f t="shared" ca="1" si="102"/>
        <v>1078340</v>
      </c>
      <c r="N331" s="161">
        <f t="shared" ca="1" si="102"/>
        <v>757900.26</v>
      </c>
      <c r="O331" s="160">
        <f t="shared" ca="1" si="99"/>
        <v>73.629014426579886</v>
      </c>
      <c r="P331" s="160">
        <f t="shared" ca="1" si="100"/>
        <v>70.283979078954687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1029350</v>
      </c>
      <c r="M333" s="173">
        <f ca="1">IFERROR(__xludf.DUMMYFUNCTION("IMPORTRANGE(""https://docs.google.com/spreadsheets/d/1Yj_ptqi66GCucihVvJfMjLAmec39IyEx_6qawtMGysU/edit?usp=sharing"",""สบก!DL91"")"),1078340)</f>
        <v>1078340</v>
      </c>
      <c r="N333" s="174">
        <f ca="1">IFERROR(__xludf.DUMMYFUNCTION("IMPORTRANGE(""https://docs.google.com/spreadsheets/d/1Yj_ptqi66GCucihVvJfMjLAmec39IyEx_6qawtMGysU/edit?usp=sharing"",""สบก!DM91"")"),757900.26)</f>
        <v>757900.26</v>
      </c>
      <c r="O333" s="175">
        <f ca="1">IF(L333&gt;0,N333*100/L333,0)</f>
        <v>73.629014426579886</v>
      </c>
      <c r="P333" s="175">
        <f ca="1">IF(M333&gt;0,N333*100/M333,0)</f>
        <v>70.283979078954687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IFERROR(__xludf.DUMMYFUNCTION("IMPORTRANGE(""https://docs.google.com/spreadsheets/d/1Yj_ptqi66GCucihVvJfMjLAmec39IyEx_6qawtMGysU/edit?usp=sharing"",""สบก!DH91"")"),777000)</f>
        <v>777000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IFERROR(__xludf.DUMMYFUNCTION("IMPORTRANGE(""https://docs.google.com/spreadsheets/d/1Yj_ptqi66GCucihVvJfMjLAmec39IyEx_6qawtMGysU/edit?usp=sharing"",""สบก!DI91"")"),252350)</f>
        <v>252350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IFERROR(__xludf.DUMMYFUNCTION("IMPORTRANGE(""https://docs.google.com/spreadsheets/d/1IYY_tgx_IHuhSq3AJ5eI5OnqOPBNLWSHKh2a30DoXe8/edit?usp=sharing"",""ระนอง!I234"")"),0)</f>
        <v>0</v>
      </c>
      <c r="J339" s="194">
        <f ca="1">IFERROR(__xludf.DUMMYFUNCTION("IMPORTRANGE(""https://docs.google.com/spreadsheets/d/1IYY_tgx_IHuhSq3AJ5eI5OnqOPBNLWSHKh2a30DoXe8/edit?usp=sharing"",""ระนอง!J234"")"),86)</f>
        <v>86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IFERROR(__xludf.DUMMYFUNCTION("IMPORTRANGE(""https://docs.google.com/spreadsheets/d/1IYY_tgx_IHuhSq3AJ5eI5OnqOPBNLWSHKh2a30DoXe8/edit?usp=sharing"",""ระนอง!I235"")"),540)</f>
        <v>540</v>
      </c>
      <c r="J340" s="194">
        <f ca="1">IFERROR(__xludf.DUMMYFUNCTION("IMPORTRANGE(""https://docs.google.com/spreadsheets/d/1IYY_tgx_IHuhSq3AJ5eI5OnqOPBNLWSHKh2a30DoXe8/edit?usp=sharing"",""ระนอง!J235"")"),662.68)</f>
        <v>662.68</v>
      </c>
      <c r="K340" s="348">
        <f t="shared" ca="1" si="103"/>
        <v>122.71851851851852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IFERROR(__xludf.DUMMYFUNCTION("IMPORTRANGE(""https://docs.google.com/spreadsheets/d/1IYY_tgx_IHuhSq3AJ5eI5OnqOPBNLWSHKh2a30DoXe8/edit?usp=sharing"",""ระนอง!I236"")"),75)</f>
        <v>75</v>
      </c>
      <c r="J341" s="194">
        <f ca="1">IFERROR(__xludf.DUMMYFUNCTION("IMPORTRANGE(""https://docs.google.com/spreadsheets/d/1IYY_tgx_IHuhSq3AJ5eI5OnqOPBNLWSHKh2a30DoXe8/edit?usp=sharing"",""ระนอง!J236"")"),74)</f>
        <v>74</v>
      </c>
      <c r="K341" s="348">
        <f t="shared" ca="1" si="103"/>
        <v>98.666666666666671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4">
        <f ca="1">IFERROR(__xludf.DUMMYFUNCTION("IMPORTRANGE(""https://docs.google.com/spreadsheets/d/1IYY_tgx_IHuhSq3AJ5eI5OnqOPBNLWSHKh2a30DoXe8/edit?usp=sharing"",""ระนอง!J237"")"),806.48)</f>
        <v>806.48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IFERROR(__xludf.DUMMYFUNCTION("IMPORTRANGE(""https://docs.google.com/spreadsheets/d/1IYY_tgx_IHuhSq3AJ5eI5OnqOPBNLWSHKh2a30DoXe8/edit?usp=sharing"",""ระนอง!I238"")"),75)</f>
        <v>75</v>
      </c>
      <c r="J343" s="194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4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IFERROR(__xludf.DUMMYFUNCTION("IMPORTRANGE(""https://docs.google.com/spreadsheets/d/1IYY_tgx_IHuhSq3AJ5eI5OnqOPBNLWSHKh2a30DoXe8/edit?usp=sharing"",""ระนอง!I240"")"),75)</f>
        <v>75</v>
      </c>
      <c r="J345" s="194">
        <f ca="1">IFERROR(__xludf.DUMMYFUNCTION("IMPORTRANGE(""https://docs.google.com/spreadsheets/d/1IYY_tgx_IHuhSq3AJ5eI5OnqOPBNLWSHKh2a30DoXe8/edit?usp=sharing"",""ระนอง!J240"")"),67)</f>
        <v>67</v>
      </c>
      <c r="K345" s="348">
        <f t="shared" ca="1" si="103"/>
        <v>89.333333333333329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4">
        <f ca="1">IFERROR(__xludf.DUMMYFUNCTION("IMPORTRANGE(""https://docs.google.com/spreadsheets/d/1IYY_tgx_IHuhSq3AJ5eI5OnqOPBNLWSHKh2a30DoXe8/edit?usp=sharing"",""ระนอง!J241"")"),647.8)</f>
        <v>647.79999999999995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IFERROR(__xludf.DUMMYFUNCTION("IMPORTRANGE(""https://docs.google.com/spreadsheets/d/1IYY_tgx_IHuhSq3AJ5eI5OnqOPBNLWSHKh2a30DoXe8/edit?usp=sharing"",""ระนอง!L242"")"),1568127)</f>
        <v>1568127</v>
      </c>
      <c r="M347" s="364"/>
      <c r="N347" s="364">
        <f ca="1">IFERROR(__xludf.DUMMYFUNCTION("IMPORTRANGE(""https://docs.google.com/spreadsheets/d/1IYY_tgx_IHuhSq3AJ5eI5OnqOPBNLWSHKh2a30DoXe8/edit?usp=sharing"",""ระนอง!M242"")"),977124)</f>
        <v>977124</v>
      </c>
      <c r="O347" s="364">
        <f ca="1">+IF(L347&gt;0,N347*100/L347,0)</f>
        <v>62.311534716257036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IFERROR(__xludf.DUMMYFUNCTION("IMPORTRANGE(""https://docs.google.com/spreadsheets/d/1IYY_tgx_IHuhSq3AJ5eI5OnqOPBNLWSHKh2a30DoXe8/edit?usp=sharing"",""ระนอง!L244"")"),65120)</f>
        <v>65120</v>
      </c>
      <c r="M349" s="379"/>
      <c r="N349" s="379">
        <f ca="1">IFERROR(__xludf.DUMMYFUNCTION("IMPORTRANGE(""https://docs.google.com/spreadsheets/d/1IYY_tgx_IHuhSq3AJ5eI5OnqOPBNLWSHKh2a30DoXe8/edit?usp=sharing"",""ระนอง!M244"")"),56330)</f>
        <v>56330</v>
      </c>
      <c r="O349" s="379">
        <f ca="1">+IF(L349&gt;0,N349*100/L349,0)</f>
        <v>86.501842751842759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IFERROR(__xludf.DUMMYFUNCTION("IMPORTRANGE(""https://docs.google.com/spreadsheets/d/1IYY_tgx_IHuhSq3AJ5eI5OnqOPBNLWSHKh2a30DoXe8/edit?usp=sharing"",""ระนอง!L246"")"),0)</f>
        <v>0</v>
      </c>
      <c r="M351" s="168"/>
      <c r="N351" s="168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IFERROR(__xludf.DUMMYFUNCTION("IMPORTRANGE(""https://docs.google.com/spreadsheets/d/1IYY_tgx_IHuhSq3AJ5eI5OnqOPBNLWSHKh2a30DoXe8/edit?usp=sharing"",""ระนอง!L247"")"),65120)</f>
        <v>65120</v>
      </c>
      <c r="M352" s="169"/>
      <c r="N352" s="168">
        <f ca="1">IFERROR(__xludf.DUMMYFUNCTION("IMPORTRANGE(""https://docs.google.com/spreadsheets/d/1IYY_tgx_IHuhSq3AJ5eI5OnqOPBNLWSHKh2a30DoXe8/edit?usp=sharing"",""ระนอง!M247"")"),56330)</f>
        <v>56330</v>
      </c>
      <c r="O352" s="169">
        <f t="shared" ca="1" si="105"/>
        <v>86.501842751842759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IFERROR(__xludf.DUMMYFUNCTION("IMPORTRANGE(""https://docs.google.com/spreadsheets/d/1IYY_tgx_IHuhSq3AJ5eI5OnqOPBNLWSHKh2a30DoXe8/edit?usp=sharing"",""ระนอง!L248"")"),0)</f>
        <v>0</v>
      </c>
      <c r="M353" s="175"/>
      <c r="N353" s="175">
        <f ca="1">IFERROR(__xludf.DUMMYFUNCTION("IMPORTRANGE(""https://docs.google.com/spreadsheets/d/1IYY_tgx_IHuhSq3AJ5eI5OnqOPBNLWSHKh2a30DoXe8/edit?usp=sharing"",""ระนอง!M248"")"),0)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IFERROR(__xludf.DUMMYFUNCTION("IMPORTRANGE(""https://docs.google.com/spreadsheets/d/1IYY_tgx_IHuhSq3AJ5eI5OnqOPBNLWSHKh2a30DoXe8/edit?usp=sharing"",""ระนอง!L249"")"),65120)</f>
        <v>65120</v>
      </c>
      <c r="M354" s="175"/>
      <c r="N354" s="172">
        <f ca="1">IFERROR(__xludf.DUMMYFUNCTION("IMPORTRANGE(""https://docs.google.com/spreadsheets/d/1IYY_tgx_IHuhSq3AJ5eI5OnqOPBNLWSHKh2a30DoXe8/edit?usp=sharing"",""ระนอง!M249"")"),56330)</f>
        <v>56330</v>
      </c>
      <c r="O354" s="175">
        <f t="shared" ca="1" si="105"/>
        <v>86.501842751842759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IFERROR(__xludf.DUMMYFUNCTION("IMPORTRANGE(""https://docs.google.com/spreadsheets/d/1IYY_tgx_IHuhSq3AJ5eI5OnqOPBNLWSHKh2a30DoXe8/edit?usp=sharing"",""ระนอง!M253"")"),9630)</f>
        <v>9630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IFERROR(__xludf.DUMMYFUNCTION("IMPORTRANGE(""https://docs.google.com/spreadsheets/d/1IYY_tgx_IHuhSq3AJ5eI5OnqOPBNLWSHKh2a30DoXe8/edit?usp=sharing"",""ระนอง!J255"")"),0)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IFERROR(__xludf.DUMMYFUNCTION("IMPORTRANGE(""https://docs.google.com/spreadsheets/d/1IYY_tgx_IHuhSq3AJ5eI5OnqOPBNLWSHKh2a30DoXe8/edit?usp=sharing"",""ระนอง!J256"")"),1)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IFERROR(__xludf.DUMMYFUNCTION("IMPORTRANGE(""https://docs.google.com/spreadsheets/d/1IYY_tgx_IHuhSq3AJ5eI5OnqOPBNLWSHKh2a30DoXe8/edit?usp=sharing"",""ระนอง!J257"")"),1)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IFERROR(__xludf.DUMMYFUNCTION("IMPORTRANGE(""https://docs.google.com/spreadsheets/d/1IYY_tgx_IHuhSq3AJ5eI5OnqOPBNLWSHKh2a30DoXe8/edit?usp=sharing"",""ระนอง!J258"")"),1)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IFERROR(__xludf.DUMMYFUNCTION("IMPORTRANGE(""https://docs.google.com/spreadsheets/d/1IYY_tgx_IHuhSq3AJ5eI5OnqOPBNLWSHKh2a30DoXe8/edit?usp=sharing"",""ระนอง!J166"")"),0)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IFERROR(__xludf.DUMMYFUNCTION("IMPORTRANGE(""https://docs.google.com/spreadsheets/d/1IYY_tgx_IHuhSq3AJ5eI5OnqOPBNLWSHKh2a30DoXe8/edit?usp=sharing"",""ระนอง!J166"")"),0)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IFERROR(__xludf.DUMMYFUNCTION("IMPORTRANGE(""https://docs.google.com/spreadsheets/d/1IYY_tgx_IHuhSq3AJ5eI5OnqOPBNLWSHKh2a30DoXe8/edit?usp=sharing"",""ระนอง!J166"")"),0)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IFERROR(__xludf.DUMMYFUNCTION("IMPORTRANGE(""https://docs.google.com/spreadsheets/d/1IYY_tgx_IHuhSq3AJ5eI5OnqOPBNLWSHKh2a30DoXe8/edit?usp=sharing"",""ระนอง!J166"")"),0)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IFERROR(__xludf.DUMMYFUNCTION("IMPORTRANGE(""https://docs.google.com/spreadsheets/d/1IYY_tgx_IHuhSq3AJ5eI5OnqOPBNLWSHKh2a30DoXe8/edit?usp=sharing"",""ระนอง!I263"")"),20)</f>
        <v>20</v>
      </c>
      <c r="J368" s="194">
        <f ca="1">IFERROR(__xludf.DUMMYFUNCTION("IMPORTRANGE(""https://docs.google.com/spreadsheets/d/1IYY_tgx_IHuhSq3AJ5eI5OnqOPBNLWSHKh2a30DoXe8/edit?usp=sharing"",""ระนอง!J263"")"),20)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IFERROR(__xludf.DUMMYFUNCTION("IMPORTRANGE(""https://docs.google.com/spreadsheets/d/1IYY_tgx_IHuhSq3AJ5eI5OnqOPBNLWSHKh2a30DoXe8/edit?usp=sharing"",""ระนอง!I164"")"),0)</f>
        <v>0</v>
      </c>
      <c r="J369" s="210">
        <f ca="1">IFERROR(__xludf.DUMMYFUNCTION("IMPORTRANGE(""https://docs.google.com/spreadsheets/d/1IYY_tgx_IHuhSq3AJ5eI5OnqOPBNLWSHKh2a30DoXe8/edit?usp=sharing"",""ระนอง!J164"")"),0)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IFERROR(__xludf.DUMMYFUNCTION("IMPORTRANGE(""https://docs.google.com/spreadsheets/d/1IYY_tgx_IHuhSq3AJ5eI5OnqOPBNLWSHKh2a30DoXe8/edit?usp=sharing"",""ระนอง!I265"")"),20)</f>
        <v>20</v>
      </c>
      <c r="J370" s="210">
        <f ca="1">IFERROR(__xludf.DUMMYFUNCTION("IMPORTRANGE(""https://docs.google.com/spreadsheets/d/1IYY_tgx_IHuhSq3AJ5eI5OnqOPBNLWSHKh2a30DoXe8/edit?usp=sharing"",""ระนอง!J265"")"),20)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IFERROR(__xludf.DUMMYFUNCTION("IMPORTRANGE(""https://docs.google.com/spreadsheets/d/1IYY_tgx_IHuhSq3AJ5eI5OnqOPBNLWSHKh2a30DoXe8/edit?usp=sharing"",""ระนอง!I164"")"),0)</f>
        <v>0</v>
      </c>
      <c r="J371" s="195">
        <f ca="1">IFERROR(__xludf.DUMMYFUNCTION("IMPORTRANGE(""https://docs.google.com/spreadsheets/d/1IYY_tgx_IHuhSq3AJ5eI5OnqOPBNLWSHKh2a30DoXe8/edit?usp=sharing"",""ระนอง!J164"")"),0)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IFERROR(__xludf.DUMMYFUNCTION("IMPORTRANGE(""https://docs.google.com/spreadsheets/d/1IYY_tgx_IHuhSq3AJ5eI5OnqOPBNLWSHKh2a30DoXe8/edit?usp=sharing"",""ระนอง!I267"")"),20)</f>
        <v>20</v>
      </c>
      <c r="J372" s="195">
        <f ca="1">IFERROR(__xludf.DUMMYFUNCTION("IMPORTRANGE(""https://docs.google.com/spreadsheets/d/1IYY_tgx_IHuhSq3AJ5eI5OnqOPBNLWSHKh2a30DoXe8/edit?usp=sharing"",""ระนอง!J267"")"),20)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IFERROR(__xludf.DUMMYFUNCTION("IMPORTRANGE(""https://docs.google.com/spreadsheets/d/1IYY_tgx_IHuhSq3AJ5eI5OnqOPBNLWSHKh2a30DoXe8/edit?usp=sharing"",""ระนอง!I164"")"),0)</f>
        <v>0</v>
      </c>
      <c r="J373" s="210">
        <f ca="1">IFERROR(__xludf.DUMMYFUNCTION("IMPORTRANGE(""https://docs.google.com/spreadsheets/d/1IYY_tgx_IHuhSq3AJ5eI5OnqOPBNLWSHKh2a30DoXe8/edit?usp=sharing"",""ระนอง!J164"")"),0)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IFERROR(__xludf.DUMMYFUNCTION("IMPORTRANGE(""https://docs.google.com/spreadsheets/d/1IYY_tgx_IHuhSq3AJ5eI5OnqOPBNLWSHKh2a30DoXe8/edit?usp=sharing"",""ระนอง!I164"")"),0)</f>
        <v>0</v>
      </c>
      <c r="J374" s="194">
        <f ca="1">IFERROR(__xludf.DUMMYFUNCTION("IMPORTRANGE(""https://docs.google.com/spreadsheets/d/1IYY_tgx_IHuhSq3AJ5eI5OnqOPBNLWSHKh2a30DoXe8/edit?usp=sharing"",""ระนอง!J164"")"),0)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IFERROR(__xludf.DUMMYFUNCTION("IMPORTRANGE(""https://docs.google.com/spreadsheets/d/1IYY_tgx_IHuhSq3AJ5eI5OnqOPBNLWSHKh2a30DoXe8/edit?usp=sharing"",""ระนอง!I270"")"),20)</f>
        <v>20</v>
      </c>
      <c r="J375" s="194">
        <f ca="1">IFERROR(__xludf.DUMMYFUNCTION("IMPORTRANGE(""https://docs.google.com/spreadsheets/d/1IYY_tgx_IHuhSq3AJ5eI5OnqOPBNLWSHKh2a30DoXe8/edit?usp=sharing"",""ระนอง!J270"")"),20)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IFERROR(__xludf.DUMMYFUNCTION("IMPORTRANGE(""https://docs.google.com/spreadsheets/d/1IYY_tgx_IHuhSq3AJ5eI5OnqOPBNLWSHKh2a30DoXe8/edit?usp=sharing"",""ระนอง!I271"")"),0)</f>
        <v>0</v>
      </c>
      <c r="J376" s="195">
        <f ca="1">IFERROR(__xludf.DUMMYFUNCTION("IMPORTRANGE(""https://docs.google.com/spreadsheets/d/1IYY_tgx_IHuhSq3AJ5eI5OnqOPBNLWSHKh2a30DoXe8/edit?usp=sharing"",""ระนอง!J271"")"),0)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IFERROR(__xludf.DUMMYFUNCTION("IMPORTRANGE(""https://docs.google.com/spreadsheets/d/1IYY_tgx_IHuhSq3AJ5eI5OnqOPBNLWSHKh2a30DoXe8/edit?usp=sharing"",""ระนอง!I272"")"),20)</f>
        <v>20</v>
      </c>
      <c r="J377" s="210">
        <f ca="1">IFERROR(__xludf.DUMMYFUNCTION("IMPORTRANGE(""https://docs.google.com/spreadsheets/d/1IYY_tgx_IHuhSq3AJ5eI5OnqOPBNLWSHKh2a30DoXe8/edit?usp=sharing"",""ระนอง!J272"")"),20)</f>
        <v>20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IFERROR(__xludf.DUMMYFUNCTION("IMPORTRANGE(""https://docs.google.com/spreadsheets/d/1IYY_tgx_IHuhSq3AJ5eI5OnqOPBNLWSHKh2a30DoXe8/edit?usp=sharing"",""ระนอง!J273"")"),0)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IFERROR(__xludf.DUMMYFUNCTION("IMPORTRANGE(""https://docs.google.com/spreadsheets/d/1IYY_tgx_IHuhSq3AJ5eI5OnqOPBNLWSHKh2a30DoXe8/edit?usp=sharing"",""ระนอง!J274"")"),0)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IFERROR(__xludf.DUMMYFUNCTION("IMPORTRANGE(""https://docs.google.com/spreadsheets/d/1IYY_tgx_IHuhSq3AJ5eI5OnqOPBNLWSHKh2a30DoXe8/edit?usp=sharing"",""ระนอง!M275"")"),642482)</f>
        <v>642482</v>
      </c>
      <c r="O380" s="379">
        <f ca="1">+IF(L380&gt;0,N380*100/L380,0)</f>
        <v>62.466651110333295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IFERROR(__xludf.DUMMYFUNCTION("IMPORTRANGE(""https://docs.google.com/spreadsheets/d/1IYY_tgx_IHuhSq3AJ5eI5OnqOPBNLWSHKh2a30DoXe8/edit?usp=sharing"",""ระนอง!L277"")"),0)</f>
        <v>0</v>
      </c>
      <c r="M382" s="168"/>
      <c r="N382" s="168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IFERROR(__xludf.DUMMYFUNCTION("IMPORTRANGE(""https://docs.google.com/spreadsheets/d/1IYY_tgx_IHuhSq3AJ5eI5OnqOPBNLWSHKh2a30DoXe8/edit?usp=sharing"",""ระนอง!M278"")"),642482)</f>
        <v>642482</v>
      </c>
      <c r="O383" s="169">
        <f t="shared" ca="1" si="109"/>
        <v>62.466651110333295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IFERROR(__xludf.DUMMYFUNCTION("IMPORTRANGE(""https://docs.google.com/spreadsheets/d/1IYY_tgx_IHuhSq3AJ5eI5OnqOPBNLWSHKh2a30DoXe8/edit?usp=sharing"",""ระนอง!L279"")"),0)</f>
        <v>0</v>
      </c>
      <c r="M384" s="175"/>
      <c r="N384" s="175">
        <f ca="1">IFERROR(__xludf.DUMMYFUNCTION("IMPORTRANGE(""https://docs.google.com/spreadsheets/d/1IYY_tgx_IHuhSq3AJ5eI5OnqOPBNLWSHKh2a30DoXe8/edit?usp=sharing"",""ระนอง!M279"")"),0)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IFERROR(__xludf.DUMMYFUNCTION("IMPORTRANGE(""https://docs.google.com/spreadsheets/d/1IYY_tgx_IHuhSq3AJ5eI5OnqOPBNLWSHKh2a30DoXe8/edit?usp=sharing"",""ระนอง!L280"")"),1028520)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IFERROR(__xludf.DUMMYFUNCTION("IMPORTRANGE(""https://docs.google.com/spreadsheets/d/1IYY_tgx_IHuhSq3AJ5eI5OnqOPBNLWSHKh2a30DoXe8/edit?usp=sharing"",""ระนอง!M280"")"),642482)</f>
        <v>642482</v>
      </c>
      <c r="O385" s="175">
        <f t="shared" ca="1" si="109"/>
        <v>62.466651110333295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IFERROR(__xludf.DUMMYFUNCTION("IMPORTRANGE(""https://docs.google.com/spreadsheets/d/1IYY_tgx_IHuhSq3AJ5eI5OnqOPBNLWSHKh2a30DoXe8/edit?usp=sharing"",""ระนอง!M281"")"),166325)</f>
        <v>166325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IFERROR(__xludf.DUMMYFUNCTION("IMPORTRANGE(""https://docs.google.com/spreadsheets/d/1IYY_tgx_IHuhSq3AJ5eI5OnqOPBNLWSHKh2a30DoXe8/edit?usp=sharing"",""ระนอง!M282"")"),352321)</f>
        <v>352321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IFERROR(__xludf.DUMMYFUNCTION("IMPORTRANGE(""https://docs.google.com/spreadsheets/d/1IYY_tgx_IHuhSq3AJ5eI5OnqOPBNLWSHKh2a30DoXe8/edit?usp=sharing"",""ระนอง!M283"")"),86166)</f>
        <v>86166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IFERROR(__xludf.DUMMYFUNCTION("IMPORTRANGE(""https://docs.google.com/spreadsheets/d/1IYY_tgx_IHuhSq3AJ5eI5OnqOPBNLWSHKh2a30DoXe8/edit?usp=sharing"",""ระนอง!M284"")"),37670)</f>
        <v>37670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IFERROR(__xludf.DUMMYFUNCTION("IMPORTRANGE(""https://docs.google.com/spreadsheets/d/1IYY_tgx_IHuhSq3AJ5eI5OnqOPBNLWSHKh2a30DoXe8/edit?usp=sharing"",""ระนอง!J286"")"),0)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IFERROR(__xludf.DUMMYFUNCTION("IMPORTRANGE(""https://docs.google.com/spreadsheets/d/1IYY_tgx_IHuhSq3AJ5eI5OnqOPBNLWSHKh2a30DoXe8/edit?usp=sharing"",""ระนอง!J287"")"),1)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IFERROR(__xludf.DUMMYFUNCTION("IMPORTRANGE(""https://docs.google.com/spreadsheets/d/1IYY_tgx_IHuhSq3AJ5eI5OnqOPBNLWSHKh2a30DoXe8/edit?usp=sharing"",""ระนอง!J288"")"),1)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IFERROR(__xludf.DUMMYFUNCTION("IMPORTRANGE(""https://docs.google.com/spreadsheets/d/1IYY_tgx_IHuhSq3AJ5eI5OnqOPBNLWSHKh2a30DoXe8/edit?usp=sharing"",""ระนอง!J289"")"),1)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IFERROR(__xludf.DUMMYFUNCTION("IMPORTRANGE(""https://docs.google.com/spreadsheets/d/1IYY_tgx_IHuhSq3AJ5eI5OnqOPBNLWSHKh2a30DoXe8/edit?usp=sharing"",""ระนอง!I291"")"),100)</f>
        <v>100</v>
      </c>
      <c r="J396" s="204">
        <f ca="1">IFERROR(__xludf.DUMMYFUNCTION("IMPORTRANGE(""https://docs.google.com/spreadsheets/d/1IYY_tgx_IHuhSq3AJ5eI5OnqOPBNLWSHKh2a30DoXe8/edit?usp=sharing"",""ระนอง!J291"")"),100)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IFERROR(__xludf.DUMMYFUNCTION("IMPORTRANGE(""https://docs.google.com/spreadsheets/d/1IYY_tgx_IHuhSq3AJ5eI5OnqOPBNLWSHKh2a30DoXe8/edit?usp=sharing"",""ระนอง!I292"")"),1000)</f>
        <v>1000</v>
      </c>
      <c r="J397" s="204">
        <f ca="1">IFERROR(__xludf.DUMMYFUNCTION("IMPORTRANGE(""https://docs.google.com/spreadsheets/d/1IYY_tgx_IHuhSq3AJ5eI5OnqOPBNLWSHKh2a30DoXe8/edit?usp=sharing"",""ระนอง!J292"")"),1000)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IFERROR(__xludf.DUMMYFUNCTION("IMPORTRANGE(""https://docs.google.com/spreadsheets/d/1IYY_tgx_IHuhSq3AJ5eI5OnqOPBNLWSHKh2a30DoXe8/edit?usp=sharing"",""ระนอง!I293"")"),100)</f>
        <v>100</v>
      </c>
      <c r="J398" s="204">
        <f ca="1">IFERROR(__xludf.DUMMYFUNCTION("IMPORTRANGE(""https://docs.google.com/spreadsheets/d/1IYY_tgx_IHuhSq3AJ5eI5OnqOPBNLWSHKh2a30DoXe8/edit?usp=sharing"",""ระนอง!J293"")"),100)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IFERROR(__xludf.DUMMYFUNCTION("IMPORTRANGE(""https://docs.google.com/spreadsheets/d/1IYY_tgx_IHuhSq3AJ5eI5OnqOPBNLWSHKh2a30DoXe8/edit?usp=sharing"",""ระนอง!J294"")"),0)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IFERROR(__xludf.DUMMYFUNCTION("IMPORTRANGE(""https://docs.google.com/spreadsheets/d/1IYY_tgx_IHuhSq3AJ5eI5OnqOPBNLWSHKh2a30DoXe8/edit?usp=sharing"",""ระนอง!J295"")"),0)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IFERROR(__xludf.DUMMYFUNCTION("IMPORTRANGE(""https://docs.google.com/spreadsheets/d/1IYY_tgx_IHuhSq3AJ5eI5OnqOPBNLWSHKh2a30DoXe8/edit?usp=sharing"",""ระนอง!M296"")"),118450)</f>
        <v>118450</v>
      </c>
      <c r="O401" s="379">
        <f ca="1">+IF(L401&gt;0,N401*100/L401,0)</f>
        <v>68.790289796155406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IFERROR(__xludf.DUMMYFUNCTION("IMPORTRANGE(""https://docs.google.com/spreadsheets/d/1IYY_tgx_IHuhSq3AJ5eI5OnqOPBNLWSHKh2a30DoXe8/edit?usp=sharing"",""ระนอง!L298"")"),0)</f>
        <v>0</v>
      </c>
      <c r="M403" s="168"/>
      <c r="N403" s="175">
        <f ca="1">IFERROR(__xludf.DUMMYFUNCTION("IMPORTRANGE(""https://docs.google.com/spreadsheets/d/1IYY_tgx_IHuhSq3AJ5eI5OnqOPBNLWSHKh2a30DoXe8/edit?usp=sharing"",""ระนอง!M298"")"),0)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5">
        <f ca="1">IFERROR(__xludf.DUMMYFUNCTION("IMPORTRANGE(""https://docs.google.com/spreadsheets/d/1IYY_tgx_IHuhSq3AJ5eI5OnqOPBNLWSHKh2a30DoXe8/edit?usp=sharing"",""ระนอง!M299"")"),118450)</f>
        <v>118450</v>
      </c>
      <c r="O404" s="175">
        <f t="shared" ca="1" si="112"/>
        <v>68.790289796155406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IFERROR(__xludf.DUMMYFUNCTION("IMPORTRANGE(""https://docs.google.com/spreadsheets/d/1IYY_tgx_IHuhSq3AJ5eI5OnqOPBNLWSHKh2a30DoXe8/edit?usp=sharing"",""ระนอง!L300"")"),0)</f>
        <v>0</v>
      </c>
      <c r="M405" s="175"/>
      <c r="N405" s="175">
        <f ca="1">IFERROR(__xludf.DUMMYFUNCTION("IMPORTRANGE(""https://docs.google.com/spreadsheets/d/1IYY_tgx_IHuhSq3AJ5eI5OnqOPBNLWSHKh2a30DoXe8/edit?usp=sharing"",""ระนอง!M300"")"),0)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IFERROR(__xludf.DUMMYFUNCTION("IMPORTRANGE(""https://docs.google.com/spreadsheets/d/1IYY_tgx_IHuhSq3AJ5eI5OnqOPBNLWSHKh2a30DoXe8/edit?usp=sharing"",""ระนอง!L301"")"),172190)</f>
        <v>172190</v>
      </c>
      <c r="M406" s="175"/>
      <c r="N406" s="175">
        <f ca="1">IFERROR(__xludf.DUMMYFUNCTION("IMPORTRANGE(""https://docs.google.com/spreadsheets/d/1IYY_tgx_IHuhSq3AJ5eI5OnqOPBNLWSHKh2a30DoXe8/edit?usp=sharing"",""ระนอง!M301"")"),118450)</f>
        <v>118450</v>
      </c>
      <c r="O406" s="175">
        <f t="shared" ca="1" si="112"/>
        <v>68.790289796155406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IFERROR(__xludf.DUMMYFUNCTION("IMPORTRANGE(""https://docs.google.com/spreadsheets/d/1IYY_tgx_IHuhSq3AJ5eI5OnqOPBNLWSHKh2a30DoXe8/edit?usp=sharing"",""ระนอง!M303"")"),32500)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IFERROR(__xludf.DUMMYFUNCTION("IMPORTRANGE(""https://docs.google.com/spreadsheets/d/1IYY_tgx_IHuhSq3AJ5eI5OnqOPBNLWSHKh2a30DoXe8/edit?usp=sharing"",""ระนอง!M305"")"),22800)</f>
        <v>22800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IFERROR(__xludf.DUMMYFUNCTION("IMPORTRANGE(""https://docs.google.com/spreadsheets/d/1IYY_tgx_IHuhSq3AJ5eI5OnqOPBNLWSHKh2a30DoXe8/edit?usp=sharing"",""ระนอง!J307"")"),0)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IFERROR(__xludf.DUMMYFUNCTION("IMPORTRANGE(""https://docs.google.com/spreadsheets/d/1IYY_tgx_IHuhSq3AJ5eI5OnqOPBNLWSHKh2a30DoXe8/edit?usp=sharing"",""ระนอง!J308"")"),1)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IFERROR(__xludf.DUMMYFUNCTION("IMPORTRANGE(""https://docs.google.com/spreadsheets/d/1IYY_tgx_IHuhSq3AJ5eI5OnqOPBNLWSHKh2a30DoXe8/edit?usp=sharing"",""ระนอง!J309"")"),1)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IFERROR(__xludf.DUMMYFUNCTION("IMPORTRANGE(""https://docs.google.com/spreadsheets/d/1IYY_tgx_IHuhSq3AJ5eI5OnqOPBNLWSHKh2a30DoXe8/edit?usp=sharing"",""ระนอง!J310"")"),1)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IFERROR(__xludf.DUMMYFUNCTION("IMPORTRANGE(""https://docs.google.com/spreadsheets/d/1IYY_tgx_IHuhSq3AJ5eI5OnqOPBNLWSHKh2a30DoXe8/edit?usp=sharing"",""ระนอง!I311"")"),55)</f>
        <v>55</v>
      </c>
      <c r="J416" s="207">
        <f ca="1">IFERROR(__xludf.DUMMYFUNCTION("IMPORTRANGE(""https://docs.google.com/spreadsheets/d/1IYY_tgx_IHuhSq3AJ5eI5OnqOPBNLWSHKh2a30DoXe8/edit?usp=sharing"",""ระนอง!J311"")"),55)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IFERROR(__xludf.DUMMYFUNCTION("IMPORTRANGE(""https://docs.google.com/spreadsheets/d/1IYY_tgx_IHuhSq3AJ5eI5OnqOPBNLWSHKh2a30DoXe8/edit?usp=sharing"",""ระนอง!J328"")"),0)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IFERROR(__xludf.DUMMYFUNCTION("IMPORTRANGE(""https://docs.google.com/spreadsheets/d/1IYY_tgx_IHuhSq3AJ5eI5OnqOPBNLWSHKh2a30DoXe8/edit?usp=sharing"",""ระนอง!J329"")"),0)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IFERROR(__xludf.DUMMYFUNCTION("IMPORTRANGE(""https://docs.google.com/spreadsheets/d/1IYY_tgx_IHuhSq3AJ5eI5OnqOPBNLWSHKh2a30DoXe8/edit?usp=sharing"",""ระนอง!M330"")"),42650)</f>
        <v>42650</v>
      </c>
      <c r="O435" s="418">
        <f t="shared" ref="O435:O439" ca="1" si="114">+IF(L435&gt;0,N435*100/L435,0)</f>
        <v>56.118421052631582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IFERROR(__xludf.DUMMYFUNCTION("IMPORTRANGE(""https://docs.google.com/spreadsheets/d/1IYY_tgx_IHuhSq3AJ5eI5OnqOPBNLWSHKh2a30DoXe8/edit?usp=sharing"",""ระนอง!L331"")"),0)</f>
        <v>0</v>
      </c>
      <c r="M436" s="168"/>
      <c r="N436" s="175">
        <f ca="1">IFERROR(__xludf.DUMMYFUNCTION("IMPORTRANGE(""https://docs.google.com/spreadsheets/d/1IYY_tgx_IHuhSq3AJ5eI5OnqOPBNLWSHKh2a30DoXe8/edit?usp=sharing"",""ระนอง!M331"")"),0)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IFERROR(__xludf.DUMMYFUNCTION("IMPORTRANGE(""https://docs.google.com/spreadsheets/d/1IYY_tgx_IHuhSq3AJ5eI5OnqOPBNLWSHKh2a30DoXe8/edit?usp=sharing"",""ระนอง!L332"")"),76000)</f>
        <v>76000</v>
      </c>
      <c r="M437" s="169"/>
      <c r="N437" s="175">
        <f ca="1">IFERROR(__xludf.DUMMYFUNCTION("IMPORTRANGE(""https://docs.google.com/spreadsheets/d/1IYY_tgx_IHuhSq3AJ5eI5OnqOPBNLWSHKh2a30DoXe8/edit?usp=sharing"",""ระนอง!M332"")"),42650)</f>
        <v>42650</v>
      </c>
      <c r="O437" s="175">
        <f t="shared" ca="1" si="114"/>
        <v>56.118421052631582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IFERROR(__xludf.DUMMYFUNCTION("IMPORTRANGE(""https://docs.google.com/spreadsheets/d/1IYY_tgx_IHuhSq3AJ5eI5OnqOPBNLWSHKh2a30DoXe8/edit?usp=sharing"",""ระนอง!L333"")"),0)</f>
        <v>0</v>
      </c>
      <c r="M438" s="175"/>
      <c r="N438" s="175">
        <f ca="1">IFERROR(__xludf.DUMMYFUNCTION("IMPORTRANGE(""https://docs.google.com/spreadsheets/d/1IYY_tgx_IHuhSq3AJ5eI5OnqOPBNLWSHKh2a30DoXe8/edit?usp=sharing"",""ระนอง!M333"")"),0)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IFERROR(__xludf.DUMMYFUNCTION("IMPORTRANGE(""https://docs.google.com/spreadsheets/d/1IYY_tgx_IHuhSq3AJ5eI5OnqOPBNLWSHKh2a30DoXe8/edit?usp=sharing"",""ระนอง!L334"")"),76000)</f>
        <v>76000</v>
      </c>
      <c r="M439" s="175"/>
      <c r="N439" s="175">
        <f ca="1">IFERROR(__xludf.DUMMYFUNCTION("IMPORTRANGE(""https://docs.google.com/spreadsheets/d/1IYY_tgx_IHuhSq3AJ5eI5OnqOPBNLWSHKh2a30DoXe8/edit?usp=sharing"",""ระนอง!M334"")"),42650)</f>
        <v>42650</v>
      </c>
      <c r="O439" s="175">
        <f t="shared" ca="1" si="114"/>
        <v>56.118421052631582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IFERROR(__xludf.DUMMYFUNCTION("IMPORTRANGE(""https://docs.google.com/spreadsheets/d/1IYY_tgx_IHuhSq3AJ5eI5OnqOPBNLWSHKh2a30DoXe8/edit?usp=sharing"",""ระนอง!M335"")"),25200)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IFERROR(__xludf.DUMMYFUNCTION("IMPORTRANGE(""https://docs.google.com/spreadsheets/d/1IYY_tgx_IHuhSq3AJ5eI5OnqOPBNLWSHKh2a30DoXe8/edit?usp=sharing"",""ระนอง!M338"")"),17450)</f>
        <v>17450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IFERROR(__xludf.DUMMYFUNCTION("IMPORTRANGE(""https://docs.google.com/spreadsheets/d/1IYY_tgx_IHuhSq3AJ5eI5OnqOPBNLWSHKh2a30DoXe8/edit?usp=sharing"",""ระนอง!J340"")"),0)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IFERROR(__xludf.DUMMYFUNCTION("IMPORTRANGE(""https://docs.google.com/spreadsheets/d/1IYY_tgx_IHuhSq3AJ5eI5OnqOPBNLWSHKh2a30DoXe8/edit?usp=sharing"",""ระนอง!J341"")"),1)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IFERROR(__xludf.DUMMYFUNCTION("IMPORTRANGE(""https://docs.google.com/spreadsheets/d/1IYY_tgx_IHuhSq3AJ5eI5OnqOPBNLWSHKh2a30DoXe8/edit?usp=sharing"",""ระนอง!J342"")"),1)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IFERROR(__xludf.DUMMYFUNCTION("IMPORTRANGE(""https://docs.google.com/spreadsheets/d/1IYY_tgx_IHuhSq3AJ5eI5OnqOPBNLWSHKh2a30DoXe8/edit?usp=sharing"",""ระนอง!J343"")"),1)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7">
        <f ca="1">IFERROR(__xludf.DUMMYFUNCTION("IMPORTRANGE(""https://docs.google.com/spreadsheets/d/1IYY_tgx_IHuhSq3AJ5eI5OnqOPBNLWSHKh2a30DoXe8/edit?usp=sharing"",""ระนอง!J344"")"),10)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5">
        <f ca="1">IFERROR(__xludf.DUMMYFUNCTION("IMPORTRANGE(""https://docs.google.com/spreadsheets/d/1IYY_tgx_IHuhSq3AJ5eI5OnqOPBNLWSHKh2a30DoXe8/edit?usp=sharing"",""ระนอง!J345"")"),10)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4">
        <f ca="1">IFERROR(__xludf.DUMMYFUNCTION("IMPORTRANGE(""https://docs.google.com/spreadsheets/d/1IYY_tgx_IHuhSq3AJ5eI5OnqOPBNLWSHKh2a30DoXe8/edit?usp=sharing"",""ระนอง!J346"")"),0)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IFERROR(__xludf.DUMMYFUNCTION("IMPORTRANGE(""https://docs.google.com/spreadsheets/d/1IYY_tgx_IHuhSq3AJ5eI5OnqOPBNLWSHKh2a30DoXe8/edit?usp=sharing"",""ระนอง!I347"")"),0)</f>
        <v>0</v>
      </c>
      <c r="J452" s="194">
        <f ca="1">IFERROR(__xludf.DUMMYFUNCTION("IMPORTRANGE(""https://docs.google.com/spreadsheets/d/1IYY_tgx_IHuhSq3AJ5eI5OnqOPBNLWSHKh2a30DoXe8/edit?usp=sharing"",""ระนอง!J347"")"),0)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IFERROR(__xludf.DUMMYFUNCTION("IMPORTRANGE(""https://docs.google.com/spreadsheets/d/1IYY_tgx_IHuhSq3AJ5eI5OnqOPBNLWSHKh2a30DoXe8/edit?usp=sharing"",""ระนอง!J348"")"),0)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IFERROR(__xludf.DUMMYFUNCTION("IMPORTRANGE(""https://docs.google.com/spreadsheets/d/1IYY_tgx_IHuhSq3AJ5eI5OnqOPBNLWSHKh2a30DoXe8/edit?usp=sharing"",""ระนอง!J349"")"),0)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IFERROR(__xludf.DUMMYFUNCTION("IMPORTRANGE(""https://docs.google.com/spreadsheets/d/1IYY_tgx_IHuhSq3AJ5eI5OnqOPBNLWSHKh2a30DoXe8/edit?usp=sharing"",""ระนอง!L350"")"),60227)</f>
        <v>60227</v>
      </c>
      <c r="M455" s="379"/>
      <c r="N455" s="379">
        <f ca="1">IFERROR(__xludf.DUMMYFUNCTION("IMPORTRANGE(""https://docs.google.com/spreadsheets/d/1IYY_tgx_IHuhSq3AJ5eI5OnqOPBNLWSHKh2a30DoXe8/edit?usp=sharing"",""ระนอง!M350"")"),15000)</f>
        <v>15000</v>
      </c>
      <c r="O455" s="379">
        <f t="shared" ref="O455:O459" ca="1" si="116">+IF(L455&gt;0,N455*100/L455,0)</f>
        <v>24.905773158218075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IFERROR(__xludf.DUMMYFUNCTION("IMPORTRANGE(""https://docs.google.com/spreadsheets/d/1IYY_tgx_IHuhSq3AJ5eI5OnqOPBNLWSHKh2a30DoXe8/edit?usp=sharing"",""ระนอง!L351"")"),0)</f>
        <v>0</v>
      </c>
      <c r="M456" s="168"/>
      <c r="N456" s="175">
        <f ca="1">IFERROR(__xludf.DUMMYFUNCTION("IMPORTRANGE(""https://docs.google.com/spreadsheets/d/1IYY_tgx_IHuhSq3AJ5eI5OnqOPBNLWSHKh2a30DoXe8/edit?usp=sharing"",""ระนอง!M351"")"),0)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IFERROR(__xludf.DUMMYFUNCTION("IMPORTRANGE(""https://docs.google.com/spreadsheets/d/1IYY_tgx_IHuhSq3AJ5eI5OnqOPBNLWSHKh2a30DoXe8/edit?usp=sharing"",""ระนอง!L352"")"),60227)</f>
        <v>60227</v>
      </c>
      <c r="M457" s="169"/>
      <c r="N457" s="175">
        <f ca="1">IFERROR(__xludf.DUMMYFUNCTION("IMPORTRANGE(""https://docs.google.com/spreadsheets/d/1IYY_tgx_IHuhSq3AJ5eI5OnqOPBNLWSHKh2a30DoXe8/edit?usp=sharing"",""ระนอง!M352"")"),15000)</f>
        <v>15000</v>
      </c>
      <c r="O457" s="175">
        <f t="shared" ca="1" si="116"/>
        <v>24.905773158218075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IFERROR(__xludf.DUMMYFUNCTION("IMPORTRANGE(""https://docs.google.com/spreadsheets/d/1IYY_tgx_IHuhSq3AJ5eI5OnqOPBNLWSHKh2a30DoXe8/edit?usp=sharing"",""ระนอง!L353"")"),0)</f>
        <v>0</v>
      </c>
      <c r="M458" s="175"/>
      <c r="N458" s="175">
        <f ca="1">IFERROR(__xludf.DUMMYFUNCTION("IMPORTRANGE(""https://docs.google.com/spreadsheets/d/1IYY_tgx_IHuhSq3AJ5eI5OnqOPBNLWSHKh2a30DoXe8/edit?usp=sharing"",""ระนอง!M353"")"),0)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IFERROR(__xludf.DUMMYFUNCTION("IMPORTRANGE(""https://docs.google.com/spreadsheets/d/1IYY_tgx_IHuhSq3AJ5eI5OnqOPBNLWSHKh2a30DoXe8/edit?usp=sharing"",""ระนอง!L354"")"),60227)</f>
        <v>60227</v>
      </c>
      <c r="M459" s="175"/>
      <c r="N459" s="175">
        <f ca="1">IFERROR(__xludf.DUMMYFUNCTION("IMPORTRANGE(""https://docs.google.com/spreadsheets/d/1IYY_tgx_IHuhSq3AJ5eI5OnqOPBNLWSHKh2a30DoXe8/edit?usp=sharing"",""ระนอง!M354"")"),15000)</f>
        <v>15000</v>
      </c>
      <c r="O459" s="175">
        <f t="shared" ca="1" si="116"/>
        <v>24.905773158218075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IFERROR(__xludf.DUMMYFUNCTION("IMPORTRANGE(""https://docs.google.com/spreadsheets/d/1IYY_tgx_IHuhSq3AJ5eI5OnqOPBNLWSHKh2a30DoXe8/edit?usp=sharing"",""ระนอง!M355"")"),0)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IFERROR(__xludf.DUMMYFUNCTION("IMPORTRANGE(""https://docs.google.com/spreadsheets/d/1IYY_tgx_IHuhSq3AJ5eI5OnqOPBNLWSHKh2a30DoXe8/edit?usp=sharing"",""ระนอง!M356"")"),0)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IFERROR(__xludf.DUMMYFUNCTION("IMPORTRANGE(""https://docs.google.com/spreadsheets/d/1IYY_tgx_IHuhSq3AJ5eI5OnqOPBNLWSHKh2a30DoXe8/edit?usp=sharing"",""ระนอง!M358"")"),15000)</f>
        <v>15000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IFERROR(__xludf.DUMMYFUNCTION("IMPORTRANGE(""https://docs.google.com/spreadsheets/d/1IYY_tgx_IHuhSq3AJ5eI5OnqOPBNLWSHKh2a30DoXe8/edit?usp=sharing"",""ระนอง!I359"")"),0)</f>
        <v>0</v>
      </c>
      <c r="J464" s="273">
        <f ca="1">IFERROR(__xludf.DUMMYFUNCTION("IMPORTRANGE(""https://docs.google.com/spreadsheets/d/1IYY_tgx_IHuhSq3AJ5eI5OnqOPBNLWSHKh2a30DoXe8/edit?usp=sharing"",""ระนอง!J359"")"),0)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IFERROR(__xludf.DUMMYFUNCTION("IMPORTRANGE(""https://docs.google.com/spreadsheets/d/1IYY_tgx_IHuhSq3AJ5eI5OnqOPBNLWSHKh2a30DoXe8/edit?usp=sharing"",""ระนอง!I362"")"),0)</f>
        <v>0</v>
      </c>
      <c r="J467" s="195">
        <f ca="1">IFERROR(__xludf.DUMMYFUNCTION("IMPORTRANGE(""https://docs.google.com/spreadsheets/d/1IYY_tgx_IHuhSq3AJ5eI5OnqOPBNLWSHKh2a30DoXe8/edit?usp=sharing"",""ระนอง!J362"")"),0)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IFERROR(__xludf.DUMMYFUNCTION("IMPORTRANGE(""https://docs.google.com/spreadsheets/d/1IYY_tgx_IHuhSq3AJ5eI5OnqOPBNLWSHKh2a30DoXe8/edit?usp=sharing"",""ระนอง!I363"")"),0)</f>
        <v>0</v>
      </c>
      <c r="J468" s="195">
        <f ca="1">IFERROR(__xludf.DUMMYFUNCTION("IMPORTRANGE(""https://docs.google.com/spreadsheets/d/1IYY_tgx_IHuhSq3AJ5eI5OnqOPBNLWSHKh2a30DoXe8/edit?usp=sharing"",""ระนอง!J363"")"),0)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IFERROR(__xludf.DUMMYFUNCTION("IMPORTRANGE(""https://docs.google.com/spreadsheets/d/1IYY_tgx_IHuhSq3AJ5eI5OnqOPBNLWSHKh2a30DoXe8/edit?usp=sharing"",""ระนอง!I364"")"),0)</f>
        <v>0</v>
      </c>
      <c r="J469" s="195">
        <f ca="1">IFERROR(__xludf.DUMMYFUNCTION("IMPORTRANGE(""https://docs.google.com/spreadsheets/d/1IYY_tgx_IHuhSq3AJ5eI5OnqOPBNLWSHKh2a30DoXe8/edit?usp=sharing"",""ระนอง!J364"")"),0)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IFERROR(__xludf.DUMMYFUNCTION("IMPORTRANGE(""https://docs.google.com/spreadsheets/d/1IYY_tgx_IHuhSq3AJ5eI5OnqOPBNLWSHKh2a30DoXe8/edit?usp=sharing"",""ระนอง!I365"")"),0)</f>
        <v>0</v>
      </c>
      <c r="J470" s="195">
        <f ca="1">IFERROR(__xludf.DUMMYFUNCTION("IMPORTRANGE(""https://docs.google.com/spreadsheets/d/1IYY_tgx_IHuhSq3AJ5eI5OnqOPBNLWSHKh2a30DoXe8/edit?usp=sharing"",""ระนอง!J365"")"),0)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IFERROR(__xludf.DUMMYFUNCTION("IMPORTRANGE(""https://docs.google.com/spreadsheets/d/1IYY_tgx_IHuhSq3AJ5eI5OnqOPBNLWSHKh2a30DoXe8/edit?usp=sharing"",""ระนอง!I366"")"),0)</f>
        <v>0</v>
      </c>
      <c r="J471" s="195">
        <f ca="1">IFERROR(__xludf.DUMMYFUNCTION("IMPORTRANGE(""https://docs.google.com/spreadsheets/d/1IYY_tgx_IHuhSq3AJ5eI5OnqOPBNLWSHKh2a30DoXe8/edit?usp=sharing"",""ระนอง!J366"")"),0)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IFERROR(__xludf.DUMMYFUNCTION("IMPORTRANGE(""https://docs.google.com/spreadsheets/d/1IYY_tgx_IHuhSq3AJ5eI5OnqOPBNLWSHKh2a30DoXe8/edit?usp=sharing"",""ระนอง!I367"")"),0)</f>
        <v>0</v>
      </c>
      <c r="J472" s="195">
        <f ca="1">IFERROR(__xludf.DUMMYFUNCTION("IMPORTRANGE(""https://docs.google.com/spreadsheets/d/1IYY_tgx_IHuhSq3AJ5eI5OnqOPBNLWSHKh2a30DoXe8/edit?usp=sharing"",""ระนอง!J367"")"),0)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IFERROR(__xludf.DUMMYFUNCTION("IMPORTRANGE(""https://docs.google.com/spreadsheets/d/1IYY_tgx_IHuhSq3AJ5eI5OnqOPBNLWSHKh2a30DoXe8/edit?usp=sharing"",""ระนอง!I370"")"),0)</f>
        <v>0</v>
      </c>
      <c r="J475" s="195">
        <f ca="1">IFERROR(__xludf.DUMMYFUNCTION("IMPORTRANGE(""https://docs.google.com/spreadsheets/d/1IYY_tgx_IHuhSq3AJ5eI5OnqOPBNLWSHKh2a30DoXe8/edit?usp=sharing"",""ระนอง!J370"")"),0)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IFERROR(__xludf.DUMMYFUNCTION("IMPORTRANGE(""https://docs.google.com/spreadsheets/d/1IYY_tgx_IHuhSq3AJ5eI5OnqOPBNLWSHKh2a30DoXe8/edit?usp=sharing"",""ระนอง!I371"")"),0)</f>
        <v>0</v>
      </c>
      <c r="J476" s="195">
        <f ca="1">IFERROR(__xludf.DUMMYFUNCTION("IMPORTRANGE(""https://docs.google.com/spreadsheets/d/1IYY_tgx_IHuhSq3AJ5eI5OnqOPBNLWSHKh2a30DoXe8/edit?usp=sharing"",""ระนอง!J371"")"),0)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IFERROR(__xludf.DUMMYFUNCTION("IMPORTRANGE(""https://docs.google.com/spreadsheets/d/1IYY_tgx_IHuhSq3AJ5eI5OnqOPBNLWSHKh2a30DoXe8/edit?usp=sharing"",""ระนอง!I372"")"),0)</f>
        <v>0</v>
      </c>
      <c r="J477" s="195">
        <f ca="1">IFERROR(__xludf.DUMMYFUNCTION("IMPORTRANGE(""https://docs.google.com/spreadsheets/d/1IYY_tgx_IHuhSq3AJ5eI5OnqOPBNLWSHKh2a30DoXe8/edit?usp=sharing"",""ระนอง!J372"")"),0)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IFERROR(__xludf.DUMMYFUNCTION("IMPORTRANGE(""https://docs.google.com/spreadsheets/d/1IYY_tgx_IHuhSq3AJ5eI5OnqOPBNLWSHKh2a30DoXe8/edit?usp=sharing"",""ระนอง!I373"")"),0)</f>
        <v>0</v>
      </c>
      <c r="J478" s="195">
        <f ca="1">IFERROR(__xludf.DUMMYFUNCTION("IMPORTRANGE(""https://docs.google.com/spreadsheets/d/1IYY_tgx_IHuhSq3AJ5eI5OnqOPBNLWSHKh2a30DoXe8/edit?usp=sharing"",""ระนอง!J373"")"),0)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IFERROR(__xludf.DUMMYFUNCTION("IMPORTRANGE(""https://docs.google.com/spreadsheets/d/1IYY_tgx_IHuhSq3AJ5eI5OnqOPBNLWSHKh2a30DoXe8/edit?usp=sharing"",""ระนอง!I374"")"),0)</f>
        <v>0</v>
      </c>
      <c r="J479" s="195">
        <f ca="1">IFERROR(__xludf.DUMMYFUNCTION("IMPORTRANGE(""https://docs.google.com/spreadsheets/d/1IYY_tgx_IHuhSq3AJ5eI5OnqOPBNLWSHKh2a30DoXe8/edit?usp=sharing"",""ระนอง!J374"")"),0)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IFERROR(__xludf.DUMMYFUNCTION("IMPORTRANGE(""https://docs.google.com/spreadsheets/d/1IYY_tgx_IHuhSq3AJ5eI5OnqOPBNLWSHKh2a30DoXe8/edit?usp=sharing"",""ระนอง!I375"")"),0)</f>
        <v>0</v>
      </c>
      <c r="J480" s="195">
        <f ca="1">IFERROR(__xludf.DUMMYFUNCTION("IMPORTRANGE(""https://docs.google.com/spreadsheets/d/1IYY_tgx_IHuhSq3AJ5eI5OnqOPBNLWSHKh2a30DoXe8/edit?usp=sharing"",""ระนอง!J375"")"),0)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IFERROR(__xludf.DUMMYFUNCTION("IMPORTRANGE(""https://docs.google.com/spreadsheets/d/1IYY_tgx_IHuhSq3AJ5eI5OnqOPBNLWSHKh2a30DoXe8/edit?usp=sharing"",""ระนอง!I378"")"),0)</f>
        <v>0</v>
      </c>
      <c r="J483" s="195">
        <f ca="1">IFERROR(__xludf.DUMMYFUNCTION("IMPORTRANGE(""https://docs.google.com/spreadsheets/d/1IYY_tgx_IHuhSq3AJ5eI5OnqOPBNLWSHKh2a30DoXe8/edit?usp=sharing"",""ระนอง!J378"")"),0)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IFERROR(__xludf.DUMMYFUNCTION("IMPORTRANGE(""https://docs.google.com/spreadsheets/d/1IYY_tgx_IHuhSq3AJ5eI5OnqOPBNLWSHKh2a30DoXe8/edit?usp=sharing"",""ระนอง!I379"")"),0)</f>
        <v>0</v>
      </c>
      <c r="J484" s="195">
        <f ca="1">IFERROR(__xludf.DUMMYFUNCTION("IMPORTRANGE(""https://docs.google.com/spreadsheets/d/1IYY_tgx_IHuhSq3AJ5eI5OnqOPBNLWSHKh2a30DoXe8/edit?usp=sharing"",""ระนอง!J379"")"),0)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IFERROR(__xludf.DUMMYFUNCTION("IMPORTRANGE(""https://docs.google.com/spreadsheets/d/1IYY_tgx_IHuhSq3AJ5eI5OnqOPBNLWSHKh2a30DoXe8/edit?usp=sharing"",""ระนอง!I380"")"),0)</f>
        <v>0</v>
      </c>
      <c r="J485" s="195">
        <f ca="1">IFERROR(__xludf.DUMMYFUNCTION("IMPORTRANGE(""https://docs.google.com/spreadsheets/d/1IYY_tgx_IHuhSq3AJ5eI5OnqOPBNLWSHKh2a30DoXe8/edit?usp=sharing"",""ระนอง!J380"")"),0)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IFERROR(__xludf.DUMMYFUNCTION("IMPORTRANGE(""https://docs.google.com/spreadsheets/d/1IYY_tgx_IHuhSq3AJ5eI5OnqOPBNLWSHKh2a30DoXe8/edit?usp=sharing"",""ระนอง!I381"")"),0)</f>
        <v>0</v>
      </c>
      <c r="J486" s="195">
        <f ca="1">IFERROR(__xludf.DUMMYFUNCTION("IMPORTRANGE(""https://docs.google.com/spreadsheets/d/1IYY_tgx_IHuhSq3AJ5eI5OnqOPBNLWSHKh2a30DoXe8/edit?usp=sharing"",""ระนอง!J381"")"),0)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IFERROR(__xludf.DUMMYFUNCTION("IMPORTRANGE(""https://docs.google.com/spreadsheets/d/1IYY_tgx_IHuhSq3AJ5eI5OnqOPBNLWSHKh2a30DoXe8/edit?usp=sharing"",""ระนอง!I384"")"),0)</f>
        <v>0</v>
      </c>
      <c r="J489" s="195">
        <f ca="1">IFERROR(__xludf.DUMMYFUNCTION("IMPORTRANGE(""https://docs.google.com/spreadsheets/d/1IYY_tgx_IHuhSq3AJ5eI5OnqOPBNLWSHKh2a30DoXe8/edit?usp=sharing"",""ระนอง!J384"")"),0)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IFERROR(__xludf.DUMMYFUNCTION("IMPORTRANGE(""https://docs.google.com/spreadsheets/d/1IYY_tgx_IHuhSq3AJ5eI5OnqOPBNLWSHKh2a30DoXe8/edit?usp=sharing"",""ระนอง!I385"")"),0)</f>
        <v>0</v>
      </c>
      <c r="J490" s="195">
        <f ca="1">IFERROR(__xludf.DUMMYFUNCTION("IMPORTRANGE(""https://docs.google.com/spreadsheets/d/1IYY_tgx_IHuhSq3AJ5eI5OnqOPBNLWSHKh2a30DoXe8/edit?usp=sharing"",""ระนอง!J385"")"),0)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IFERROR(__xludf.DUMMYFUNCTION("IMPORTRANGE(""https://docs.google.com/spreadsheets/d/1IYY_tgx_IHuhSq3AJ5eI5OnqOPBNLWSHKh2a30DoXe8/edit?usp=sharing"",""ระนอง!I386"")"),0)</f>
        <v>0</v>
      </c>
      <c r="J491" s="195">
        <f ca="1">IFERROR(__xludf.DUMMYFUNCTION("IMPORTRANGE(""https://docs.google.com/spreadsheets/d/1IYY_tgx_IHuhSq3AJ5eI5OnqOPBNLWSHKh2a30DoXe8/edit?usp=sharing"",""ระนอง!J386"")"),0)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IFERROR(__xludf.DUMMYFUNCTION("IMPORTRANGE(""https://docs.google.com/spreadsheets/d/1IYY_tgx_IHuhSq3AJ5eI5OnqOPBNLWSHKh2a30DoXe8/edit?usp=sharing"",""ระนอง!I387"")"),0)</f>
        <v>0</v>
      </c>
      <c r="J492" s="195">
        <f ca="1">IFERROR(__xludf.DUMMYFUNCTION("IMPORTRANGE(""https://docs.google.com/spreadsheets/d/1IYY_tgx_IHuhSq3AJ5eI5OnqOPBNLWSHKh2a30DoXe8/edit?usp=sharing"",""ระนอง!J387"")"),0)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IFERROR(__xludf.DUMMYFUNCTION("IMPORTRANGE(""https://docs.google.com/spreadsheets/d/1IYY_tgx_IHuhSq3AJ5eI5OnqOPBNLWSHKh2a30DoXe8/edit?usp=sharing"",""ระนอง!I388"")"),0)</f>
        <v>0</v>
      </c>
      <c r="J493" s="195">
        <f ca="1">IFERROR(__xludf.DUMMYFUNCTION("IMPORTRANGE(""https://docs.google.com/spreadsheets/d/1IYY_tgx_IHuhSq3AJ5eI5OnqOPBNLWSHKh2a30DoXe8/edit?usp=sharing"",""ระนอง!J388"")"),0)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IFERROR(__xludf.DUMMYFUNCTION("IMPORTRANGE(""https://docs.google.com/spreadsheets/d/1IYY_tgx_IHuhSq3AJ5eI5OnqOPBNLWSHKh2a30DoXe8/edit?usp=sharing"",""ระนอง!J392"")"),360.11)</f>
        <v>360.11</v>
      </c>
      <c r="K497" s="450">
        <f t="shared" ca="1" si="117"/>
        <v>63.96269982238011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IFERROR(__xludf.DUMMYFUNCTION("IMPORTRANGE(""https://docs.google.com/spreadsheets/d/1IYY_tgx_IHuhSq3AJ5eI5OnqOPBNLWSHKh2a30DoXe8/edit?usp=sharing"",""ระนอง!J393"")"),360.11)</f>
        <v>360.11</v>
      </c>
      <c r="K498" s="208">
        <f t="shared" ca="1" si="117"/>
        <v>63.96269982238011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IFERROR(__xludf.DUMMYFUNCTION("IMPORTRANGE(""https://docs.google.com/spreadsheets/d/1IYY_tgx_IHuhSq3AJ5eI5OnqOPBNLWSHKh2a30DoXe8/edit?usp=sharing"",""ระนอง!J394"")"),44)</f>
        <v>44</v>
      </c>
      <c r="K499" s="208">
        <f t="shared" ca="1" si="117"/>
        <v>61.111111111111114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IFERROR(__xludf.DUMMYFUNCTION("IMPORTRANGE(""https://docs.google.com/spreadsheets/d/1IYY_tgx_IHuhSq3AJ5eI5OnqOPBNLWSHKh2a30DoXe8/edit?usp=sharing"",""ระนอง!I395"")"),0)</f>
        <v>0</v>
      </c>
      <c r="J500" s="166">
        <f ca="1">IFERROR(__xludf.DUMMYFUNCTION("IMPORTRANGE(""https://docs.google.com/spreadsheets/d/1IYY_tgx_IHuhSq3AJ5eI5OnqOPBNLWSHKh2a30DoXe8/edit?usp=sharing"",""ระนอง!J395"")"),345.22)</f>
        <v>345.22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IFERROR(__xludf.DUMMYFUNCTION("IMPORTRANGE(""https://docs.google.com/spreadsheets/d/1IYY_tgx_IHuhSq3AJ5eI5OnqOPBNLWSHKh2a30DoXe8/edit?usp=sharing"",""ระนอง!I396"")"),0)</f>
        <v>0</v>
      </c>
      <c r="J501" s="166">
        <f ca="1">IFERROR(__xludf.DUMMYFUNCTION("IMPORTRANGE(""https://docs.google.com/spreadsheets/d/1IYY_tgx_IHuhSq3AJ5eI5OnqOPBNLWSHKh2a30DoXe8/edit?usp=sharing"",""ระนอง!J396"")"),43)</f>
        <v>43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IFERROR(__xludf.DUMMYFUNCTION("IMPORTRANGE(""https://docs.google.com/spreadsheets/d/1IYY_tgx_IHuhSq3AJ5eI5OnqOPBNLWSHKh2a30DoXe8/edit?usp=sharing"",""ระนอง!I397"")"),0)</f>
        <v>0</v>
      </c>
      <c r="J502" s="195">
        <f ca="1">IFERROR(__xludf.DUMMYFUNCTION("IMPORTRANGE(""https://docs.google.com/spreadsheets/d/1IYY_tgx_IHuhSq3AJ5eI5OnqOPBNLWSHKh2a30DoXe8/edit?usp=sharing"",""ระนอง!J397"")"),181.55)</f>
        <v>181.55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IFERROR(__xludf.DUMMYFUNCTION("IMPORTRANGE(""https://docs.google.com/spreadsheets/d/1IYY_tgx_IHuhSq3AJ5eI5OnqOPBNLWSHKh2a30DoXe8/edit?usp=sharing"",""ระนอง!I398"")"),0)</f>
        <v>0</v>
      </c>
      <c r="J503" s="204">
        <f ca="1">IFERROR(__xludf.DUMMYFUNCTION("IMPORTRANGE(""https://docs.google.com/spreadsheets/d/1IYY_tgx_IHuhSq3AJ5eI5OnqOPBNLWSHKh2a30DoXe8/edit?usp=sharing"",""ระนอง!J398"")"),20)</f>
        <v>20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IFERROR(__xludf.DUMMYFUNCTION("IMPORTRANGE(""https://docs.google.com/spreadsheets/d/1IYY_tgx_IHuhSq3AJ5eI5OnqOPBNLWSHKh2a30DoXe8/edit?usp=sharing"",""ระนอง!I399"")"),0)</f>
        <v>0</v>
      </c>
      <c r="J504" s="195">
        <f ca="1">IFERROR(__xludf.DUMMYFUNCTION("IMPORTRANGE(""https://docs.google.com/spreadsheets/d/1IYY_tgx_IHuhSq3AJ5eI5OnqOPBNLWSHKh2a30DoXe8/edit?usp=sharing"",""ระนอง!J399"")"),163.67)</f>
        <v>163.66999999999999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IFERROR(__xludf.DUMMYFUNCTION("IMPORTRANGE(""https://docs.google.com/spreadsheets/d/1IYY_tgx_IHuhSq3AJ5eI5OnqOPBNLWSHKh2a30DoXe8/edit?usp=sharing"",""ระนอง!I400"")"),0)</f>
        <v>0</v>
      </c>
      <c r="J505" s="204">
        <f ca="1">IFERROR(__xludf.DUMMYFUNCTION("IMPORTRANGE(""https://docs.google.com/spreadsheets/d/1IYY_tgx_IHuhSq3AJ5eI5OnqOPBNLWSHKh2a30DoXe8/edit?usp=sharing"",""ระนอง!J400"")"),23)</f>
        <v>23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IFERROR(__xludf.DUMMYFUNCTION("IMPORTRANGE(""https://docs.google.com/spreadsheets/d/1IYY_tgx_IHuhSq3AJ5eI5OnqOPBNLWSHKh2a30DoXe8/edit?usp=sharing"",""ระนอง!I401"")"),0)</f>
        <v>0</v>
      </c>
      <c r="J506" s="195">
        <f ca="1">IFERROR(__xludf.DUMMYFUNCTION("IMPORTRANGE(""https://docs.google.com/spreadsheets/d/1IYY_tgx_IHuhSq3AJ5eI5OnqOPBNLWSHKh2a30DoXe8/edit?usp=sharing"",""ระนอง!J401"")"),0)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IFERROR(__xludf.DUMMYFUNCTION("IMPORTRANGE(""https://docs.google.com/spreadsheets/d/1IYY_tgx_IHuhSq3AJ5eI5OnqOPBNLWSHKh2a30DoXe8/edit?usp=sharing"",""ระนอง!I402"")"),0)</f>
        <v>0</v>
      </c>
      <c r="J507" s="204">
        <f ca="1">IFERROR(__xludf.DUMMYFUNCTION("IMPORTRANGE(""https://docs.google.com/spreadsheets/d/1IYY_tgx_IHuhSq3AJ5eI5OnqOPBNLWSHKh2a30DoXe8/edit?usp=sharing"",""ระนอง!J402"")"),0)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IFERROR(__xludf.DUMMYFUNCTION("IMPORTRANGE(""https://docs.google.com/spreadsheets/d/1IYY_tgx_IHuhSq3AJ5eI5OnqOPBNLWSHKh2a30DoXe8/edit?usp=sharing"",""ระนอง!I403"")"),0)</f>
        <v>0</v>
      </c>
      <c r="J508" s="166">
        <f ca="1">IFERROR(__xludf.DUMMYFUNCTION("IMPORTRANGE(""https://docs.google.com/spreadsheets/d/1IYY_tgx_IHuhSq3AJ5eI5OnqOPBNLWSHKh2a30DoXe8/edit?usp=sharing"",""ระนอง!J403"")"),14.89)</f>
        <v>14.89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IFERROR(__xludf.DUMMYFUNCTION("IMPORTRANGE(""https://docs.google.com/spreadsheets/d/1IYY_tgx_IHuhSq3AJ5eI5OnqOPBNLWSHKh2a30DoXe8/edit?usp=sharing"",""ระนอง!I404"")"),0)</f>
        <v>0</v>
      </c>
      <c r="J509" s="166">
        <f ca="1">IFERROR(__xludf.DUMMYFUNCTION("IMPORTRANGE(""https://docs.google.com/spreadsheets/d/1IYY_tgx_IHuhSq3AJ5eI5OnqOPBNLWSHKh2a30DoXe8/edit?usp=sharing"",""ระนอง!J404"")"),1)</f>
        <v>1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IFERROR(__xludf.DUMMYFUNCTION("IMPORTRANGE(""https://docs.google.com/spreadsheets/d/1IYY_tgx_IHuhSq3AJ5eI5OnqOPBNLWSHKh2a30DoXe8/edit?usp=sharing"",""ระนอง!I405"")"),0)</f>
        <v>0</v>
      </c>
      <c r="J510" s="204">
        <f ca="1">IFERROR(__xludf.DUMMYFUNCTION("IMPORTRANGE(""https://docs.google.com/spreadsheets/d/1IYY_tgx_IHuhSq3AJ5eI5OnqOPBNLWSHKh2a30DoXe8/edit?usp=sharing"",""ระนอง!J405"")"),0)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IFERROR(__xludf.DUMMYFUNCTION("IMPORTRANGE(""https://docs.google.com/spreadsheets/d/1IYY_tgx_IHuhSq3AJ5eI5OnqOPBNLWSHKh2a30DoXe8/edit?usp=sharing"",""ระนอง!I406"")"),0)</f>
        <v>0</v>
      </c>
      <c r="J511" s="204">
        <f ca="1">IFERROR(__xludf.DUMMYFUNCTION("IMPORTRANGE(""https://docs.google.com/spreadsheets/d/1IYY_tgx_IHuhSq3AJ5eI5OnqOPBNLWSHKh2a30DoXe8/edit?usp=sharing"",""ระนอง!J406"")"),0)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IFERROR(__xludf.DUMMYFUNCTION("IMPORTRANGE(""https://docs.google.com/spreadsheets/d/1IYY_tgx_IHuhSq3AJ5eI5OnqOPBNLWSHKh2a30DoXe8/edit?usp=sharing"",""ระนอง!I407"")"),0)</f>
        <v>0</v>
      </c>
      <c r="J512" s="204">
        <f ca="1">IFERROR(__xludf.DUMMYFUNCTION("IMPORTRANGE(""https://docs.google.com/spreadsheets/d/1IYY_tgx_IHuhSq3AJ5eI5OnqOPBNLWSHKh2a30DoXe8/edit?usp=sharing"",""ระนอง!J407"")"),14.89)</f>
        <v>14.89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IFERROR(__xludf.DUMMYFUNCTION("IMPORTRANGE(""https://docs.google.com/spreadsheets/d/1IYY_tgx_IHuhSq3AJ5eI5OnqOPBNLWSHKh2a30DoXe8/edit?usp=sharing"",""ระนอง!I408"")"),0)</f>
        <v>0</v>
      </c>
      <c r="J513" s="204">
        <f ca="1">IFERROR(__xludf.DUMMYFUNCTION("IMPORTRANGE(""https://docs.google.com/spreadsheets/d/1IYY_tgx_IHuhSq3AJ5eI5OnqOPBNLWSHKh2a30DoXe8/edit?usp=sharing"",""ระนอง!J408"")"),1)</f>
        <v>1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IFERROR(__xludf.DUMMYFUNCTION("IMPORTRANGE(""https://docs.google.com/spreadsheets/d/1IYY_tgx_IHuhSq3AJ5eI5OnqOPBNLWSHKh2a30DoXe8/edit?usp=sharing"",""ระนอง!I409"")"),0)</f>
        <v>0</v>
      </c>
      <c r="J514" s="204">
        <f ca="1">IFERROR(__xludf.DUMMYFUNCTION("IMPORTRANGE(""https://docs.google.com/spreadsheets/d/1IYY_tgx_IHuhSq3AJ5eI5OnqOPBNLWSHKh2a30DoXe8/edit?usp=sharing"",""ระนอง!J409"")"),0)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IFERROR(__xludf.DUMMYFUNCTION("IMPORTRANGE(""https://docs.google.com/spreadsheets/d/1IYY_tgx_IHuhSq3AJ5eI5OnqOPBNLWSHKh2a30DoXe8/edit?usp=sharing"",""ระนอง!I410"")"),0)</f>
        <v>0</v>
      </c>
      <c r="J515" s="204">
        <f ca="1">IFERROR(__xludf.DUMMYFUNCTION("IMPORTRANGE(""https://docs.google.com/spreadsheets/d/1IYY_tgx_IHuhSq3AJ5eI5OnqOPBNLWSHKh2a30DoXe8/edit?usp=sharing"",""ระนอง!J410"")"),0)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IFERROR(__xludf.DUMMYFUNCTION("IMPORTRANGE(""https://docs.google.com/spreadsheets/d/1IYY_tgx_IHuhSq3AJ5eI5OnqOPBNLWSHKh2a30DoXe8/edit?usp=sharing"",""ระนอง!I411"")"),0)</f>
        <v>0</v>
      </c>
      <c r="J516" s="273">
        <f ca="1">IFERROR(__xludf.DUMMYFUNCTION("IMPORTRANGE(""https://docs.google.com/spreadsheets/d/1IYY_tgx_IHuhSq3AJ5eI5OnqOPBNLWSHKh2a30DoXe8/edit?usp=sharing"",""ระนอง!J411"")"),0)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IFERROR(__xludf.DUMMYFUNCTION("IMPORTRANGE(""https://docs.google.com/spreadsheets/d/1IYY_tgx_IHuhSq3AJ5eI5OnqOPBNLWSHKh2a30DoXe8/edit?usp=sharing"",""ระนอง!I414"")"),0)</f>
        <v>0</v>
      </c>
      <c r="J519" s="194">
        <f ca="1">IFERROR(__xludf.DUMMYFUNCTION("IMPORTRANGE(""https://docs.google.com/spreadsheets/d/1IYY_tgx_IHuhSq3AJ5eI5OnqOPBNLWSHKh2a30DoXe8/edit?usp=sharing"",""ระนอง!J414"")"),0)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IFERROR(__xludf.DUMMYFUNCTION("IMPORTRANGE(""https://docs.google.com/spreadsheets/d/1IYY_tgx_IHuhSq3AJ5eI5OnqOPBNLWSHKh2a30DoXe8/edit?usp=sharing"",""ระนอง!I415"")"),0)</f>
        <v>0</v>
      </c>
      <c r="J520" s="194">
        <f ca="1">IFERROR(__xludf.DUMMYFUNCTION("IMPORTRANGE(""https://docs.google.com/spreadsheets/d/1IYY_tgx_IHuhSq3AJ5eI5OnqOPBNLWSHKh2a30DoXe8/edit?usp=sharing"",""ระนอง!J415"")"),0)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IFERROR(__xludf.DUMMYFUNCTION("IMPORTRANGE(""https://docs.google.com/spreadsheets/d/1IYY_tgx_IHuhSq3AJ5eI5OnqOPBNLWSHKh2a30DoXe8/edit?usp=sharing"",""ระนอง!I416"")"),0)</f>
        <v>0</v>
      </c>
      <c r="J521" s="194">
        <f ca="1">IFERROR(__xludf.DUMMYFUNCTION("IMPORTRANGE(""https://docs.google.com/spreadsheets/d/1IYY_tgx_IHuhSq3AJ5eI5OnqOPBNLWSHKh2a30DoXe8/edit?usp=sharing"",""ระนอง!J416"")"),0)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IFERROR(__xludf.DUMMYFUNCTION("IMPORTRANGE(""https://docs.google.com/spreadsheets/d/1IYY_tgx_IHuhSq3AJ5eI5OnqOPBNLWSHKh2a30DoXe8/edit?usp=sharing"",""ระนอง!I417"")"),0)</f>
        <v>0</v>
      </c>
      <c r="J522" s="194">
        <f ca="1">IFERROR(__xludf.DUMMYFUNCTION("IMPORTRANGE(""https://docs.google.com/spreadsheets/d/1IYY_tgx_IHuhSq3AJ5eI5OnqOPBNLWSHKh2a30DoXe8/edit?usp=sharing"",""ระนอง!J417"")"),0)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IFERROR(__xludf.DUMMYFUNCTION("IMPORTRANGE(""https://docs.google.com/spreadsheets/d/1IYY_tgx_IHuhSq3AJ5eI5OnqOPBNLWSHKh2a30DoXe8/edit?usp=sharing"",""ระนอง!I418"")"),0)</f>
        <v>0</v>
      </c>
      <c r="J523" s="194">
        <f ca="1">IFERROR(__xludf.DUMMYFUNCTION("IMPORTRANGE(""https://docs.google.com/spreadsheets/d/1IYY_tgx_IHuhSq3AJ5eI5OnqOPBNLWSHKh2a30DoXe8/edit?usp=sharing"",""ระนอง!J418"")"),0)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IFERROR(__xludf.DUMMYFUNCTION("IMPORTRANGE(""https://docs.google.com/spreadsheets/d/1IYY_tgx_IHuhSq3AJ5eI5OnqOPBNLWSHKh2a30DoXe8/edit?usp=sharing"",""ระนอง!I419"")"),0)</f>
        <v>0</v>
      </c>
      <c r="J524" s="194">
        <f ca="1">IFERROR(__xludf.DUMMYFUNCTION("IMPORTRANGE(""https://docs.google.com/spreadsheets/d/1IYY_tgx_IHuhSq3AJ5eI5OnqOPBNLWSHKh2a30DoXe8/edit?usp=sharing"",""ระนอง!J419"")"),0)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IFERROR(__xludf.DUMMYFUNCTION("IMPORTRANGE(""https://docs.google.com/spreadsheets/d/1IYY_tgx_IHuhSq3AJ5eI5OnqOPBNLWSHKh2a30DoXe8/edit?usp=sharing"",""ระนอง!I422"")"),0)</f>
        <v>0</v>
      </c>
      <c r="J527" s="204">
        <f ca="1">IFERROR(__xludf.DUMMYFUNCTION("IMPORTRANGE(""https://docs.google.com/spreadsheets/d/1IYY_tgx_IHuhSq3AJ5eI5OnqOPBNLWSHKh2a30DoXe8/edit?usp=sharing"",""ระนอง!J422"")"),0)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IFERROR(__xludf.DUMMYFUNCTION("IMPORTRANGE(""https://docs.google.com/spreadsheets/d/1IYY_tgx_IHuhSq3AJ5eI5OnqOPBNLWSHKh2a30DoXe8/edit?usp=sharing"",""ระนอง!I423"")"),0)</f>
        <v>0</v>
      </c>
      <c r="J528" s="204">
        <f ca="1">IFERROR(__xludf.DUMMYFUNCTION("IMPORTRANGE(""https://docs.google.com/spreadsheets/d/1IYY_tgx_IHuhSq3AJ5eI5OnqOPBNLWSHKh2a30DoXe8/edit?usp=sharing"",""ระนอง!J423"")"),0)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IFERROR(__xludf.DUMMYFUNCTION("IMPORTRANGE(""https://docs.google.com/spreadsheets/d/1IYY_tgx_IHuhSq3AJ5eI5OnqOPBNLWSHKh2a30DoXe8/edit?usp=sharing"",""ระนอง!I424"")"),0)</f>
        <v>0</v>
      </c>
      <c r="J529" s="204">
        <f ca="1">IFERROR(__xludf.DUMMYFUNCTION("IMPORTRANGE(""https://docs.google.com/spreadsheets/d/1IYY_tgx_IHuhSq3AJ5eI5OnqOPBNLWSHKh2a30DoXe8/edit?usp=sharing"",""ระนอง!J424"")"),0)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IFERROR(__xludf.DUMMYFUNCTION("IMPORTRANGE(""https://docs.google.com/spreadsheets/d/1IYY_tgx_IHuhSq3AJ5eI5OnqOPBNLWSHKh2a30DoXe8/edit?usp=sharing"",""ระนอง!I425"")"),0)</f>
        <v>0</v>
      </c>
      <c r="J530" s="204">
        <f ca="1">IFERROR(__xludf.DUMMYFUNCTION("IMPORTRANGE(""https://docs.google.com/spreadsheets/d/1IYY_tgx_IHuhSq3AJ5eI5OnqOPBNLWSHKh2a30DoXe8/edit?usp=sharing"",""ระนอง!J425"")"),0)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IFERROR(__xludf.DUMMYFUNCTION("IMPORTRANGE(""https://docs.google.com/spreadsheets/d/1IYY_tgx_IHuhSq3AJ5eI5OnqOPBNLWSHKh2a30DoXe8/edit?usp=sharing"",""ระนอง!I426"")"),0)</f>
        <v>0</v>
      </c>
      <c r="J531" s="204">
        <f ca="1">IFERROR(__xludf.DUMMYFUNCTION("IMPORTRANGE(""https://docs.google.com/spreadsheets/d/1IYY_tgx_IHuhSq3AJ5eI5OnqOPBNLWSHKh2a30DoXe8/edit?usp=sharing"",""ระนอง!J426"")"),0)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IFERROR(__xludf.DUMMYFUNCTION("IMPORTRANGE(""https://docs.google.com/spreadsheets/d/1IYY_tgx_IHuhSq3AJ5eI5OnqOPBNLWSHKh2a30DoXe8/edit?usp=sharing"",""ระนอง!M428"")"),29040)</f>
        <v>29040</v>
      </c>
      <c r="O533" s="418">
        <f t="shared" ref="O533:O537" ca="1" si="118">+IF(L533&gt;0,N533*100/L533,0)</f>
        <v>88.970588235294116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IFERROR(__xludf.DUMMYFUNCTION("IMPORTRANGE(""https://docs.google.com/spreadsheets/d/1IYY_tgx_IHuhSq3AJ5eI5OnqOPBNLWSHKh2a30DoXe8/edit?usp=sharing"",""ระนอง!L429"")"),0)</f>
        <v>0</v>
      </c>
      <c r="M534" s="168"/>
      <c r="N534" s="175">
        <f ca="1">IFERROR(__xludf.DUMMYFUNCTION("IMPORTRANGE(""https://docs.google.com/spreadsheets/d/1IYY_tgx_IHuhSq3AJ5eI5OnqOPBNLWSHKh2a30DoXe8/edit?usp=sharing"",""ระนอง!M429"")"),0)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IFERROR(__xludf.DUMMYFUNCTION("IMPORTRANGE(""https://docs.google.com/spreadsheets/d/1IYY_tgx_IHuhSq3AJ5eI5OnqOPBNLWSHKh2a30DoXe8/edit?usp=sharing"",""ระนอง!M430"")"),29040)</f>
        <v>29040</v>
      </c>
      <c r="O535" s="175">
        <f t="shared" ca="1" si="118"/>
        <v>88.970588235294116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IFERROR(__xludf.DUMMYFUNCTION("IMPORTRANGE(""https://docs.google.com/spreadsheets/d/1IYY_tgx_IHuhSq3AJ5eI5OnqOPBNLWSHKh2a30DoXe8/edit?usp=sharing"",""ระนอง!L431"")"),0)</f>
        <v>0</v>
      </c>
      <c r="M536" s="175"/>
      <c r="N536" s="175">
        <f ca="1">IFERROR(__xludf.DUMMYFUNCTION("IMPORTRANGE(""https://docs.google.com/spreadsheets/d/1IYY_tgx_IHuhSq3AJ5eI5OnqOPBNLWSHKh2a30DoXe8/edit?usp=sharing"",""ระนอง!M431"")"),0)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IFERROR(__xludf.DUMMYFUNCTION("IMPORTRANGE(""https://docs.google.com/spreadsheets/d/1IYY_tgx_IHuhSq3AJ5eI5OnqOPBNLWSHKh2a30DoXe8/edit?usp=sharing"",""ระนอง!L432"")"),32640)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IFERROR(__xludf.DUMMYFUNCTION("IMPORTRANGE(""https://docs.google.com/spreadsheets/d/1IYY_tgx_IHuhSq3AJ5eI5OnqOPBNLWSHKh2a30DoXe8/edit?usp=sharing"",""ระนอง!M432"")"),29040)</f>
        <v>29040</v>
      </c>
      <c r="O537" s="175">
        <f t="shared" ca="1" si="118"/>
        <v>88.970588235294116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IFERROR(__xludf.DUMMYFUNCTION("IMPORTRANGE(""https://docs.google.com/spreadsheets/d/1IYY_tgx_IHuhSq3AJ5eI5OnqOPBNLWSHKh2a30DoXe8/edit?usp=sharing"",""ระนอง!M433"")"),12300)</f>
        <v>12300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IFERROR(__xludf.DUMMYFUNCTION("IMPORTRANGE(""https://docs.google.com/spreadsheets/d/1IYY_tgx_IHuhSq3AJ5eI5OnqOPBNLWSHKh2a30DoXe8/edit?usp=sharing"",""ระนอง!M436"")"),16740)</f>
        <v>16740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IFERROR(__xludf.DUMMYFUNCTION("IMPORTRANGE(""https://docs.google.com/spreadsheets/d/1IYY_tgx_IHuhSq3AJ5eI5OnqOPBNLWSHKh2a30DoXe8/edit?usp=sharing"",""ระนอง!J438"")"),0)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IFERROR(__xludf.DUMMYFUNCTION("IMPORTRANGE(""https://docs.google.com/spreadsheets/d/1IYY_tgx_IHuhSq3AJ5eI5OnqOPBNLWSHKh2a30DoXe8/edit?usp=sharing"",""ระนอง!J439"")"),1)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IFERROR(__xludf.DUMMYFUNCTION("IMPORTRANGE(""https://docs.google.com/spreadsheets/d/1IYY_tgx_IHuhSq3AJ5eI5OnqOPBNLWSHKh2a30DoXe8/edit?usp=sharing"",""ระนอง!J440"")"),1)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IFERROR(__xludf.DUMMYFUNCTION("IMPORTRANGE(""https://docs.google.com/spreadsheets/d/1IYY_tgx_IHuhSq3AJ5eI5OnqOPBNLWSHKh2a30DoXe8/edit?usp=sharing"",""ระนอง!J441"")"),1)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IFERROR(__xludf.DUMMYFUNCTION("IMPORTRANGE(""https://docs.google.com/spreadsheets/d/1IYY_tgx_IHuhSq3AJ5eI5OnqOPBNLWSHKh2a30DoXe8/edit?usp=sharing"",""ระนอง!I442"")"),20)</f>
        <v>20</v>
      </c>
      <c r="J547" s="195">
        <f ca="1">IFERROR(__xludf.DUMMYFUNCTION("IMPORTRANGE(""https://docs.google.com/spreadsheets/d/1IYY_tgx_IHuhSq3AJ5eI5OnqOPBNLWSHKh2a30DoXe8/edit?usp=sharing"",""ระนอง!J442"")"),20)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IFERROR(__xludf.DUMMYFUNCTION("IMPORTRANGE(""https://docs.google.com/spreadsheets/d/1IYY_tgx_IHuhSq3AJ5eI5OnqOPBNLWSHKh2a30DoXe8/edit?usp=sharing"",""ระนอง!J166"")"),0)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IFERROR(__xludf.DUMMYFUNCTION("IMPORTRANGE(""https://docs.google.com/spreadsheets/d/1IYY_tgx_IHuhSq3AJ5eI5OnqOPBNLWSHKh2a30DoXe8/edit?usp=sharing"",""ระนอง!J444"")"),0)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IFERROR(__xludf.DUMMYFUNCTION("IMPORTRANGE(""https://docs.google.com/spreadsheets/d/1IYY_tgx_IHuhSq3AJ5eI5OnqOPBNLWSHKh2a30DoXe8/edit?usp=sharing"",""ระนอง!L447"")"),0)</f>
        <v>0</v>
      </c>
      <c r="M552" s="168"/>
      <c r="N552" s="175">
        <f ca="1">IFERROR(__xludf.DUMMYFUNCTION("IMPORTRANGE(""https://docs.google.com/spreadsheets/d/1IYY_tgx_IHuhSq3AJ5eI5OnqOPBNLWSHKh2a30DoXe8/edit?usp=sharing"",""ระนอง!M447"")"),0)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5">
        <f ca="1">IFERROR(__xludf.DUMMYFUNCTION("IMPORTRANGE(""https://docs.google.com/spreadsheets/d/1IYY_tgx_IHuhSq3AJ5eI5OnqOPBNLWSHKh2a30DoXe8/edit?usp=sharing"",""ระนอง!M448"")"),0)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IFERROR(__xludf.DUMMYFUNCTION("IMPORTRANGE(""https://docs.google.com/spreadsheets/d/1IYY_tgx_IHuhSq3AJ5eI5OnqOPBNLWSHKh2a30DoXe8/edit?usp=sharing"",""ระนอง!L449"")"),0)</f>
        <v>0</v>
      </c>
      <c r="M554" s="175"/>
      <c r="N554" s="175">
        <f ca="1">IFERROR(__xludf.DUMMYFUNCTION("IMPORTRANGE(""https://docs.google.com/spreadsheets/d/1IYY_tgx_IHuhSq3AJ5eI5OnqOPBNLWSHKh2a30DoXe8/edit?usp=sharing"",""ระนอง!M449"")"),0)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IFERROR(__xludf.DUMMYFUNCTION("IMPORTRANGE(""https://docs.google.com/spreadsheets/d/1IYY_tgx_IHuhSq3AJ5eI5OnqOPBNLWSHKh2a30DoXe8/edit?usp=sharing"",""ระนอง!L450"")"),0)</f>
        <v>0</v>
      </c>
      <c r="M555" s="175"/>
      <c r="N555" s="175">
        <f ca="1">IFERROR(__xludf.DUMMYFUNCTION("IMPORTRANGE(""https://docs.google.com/spreadsheets/d/1IYY_tgx_IHuhSq3AJ5eI5OnqOPBNLWSHKh2a30DoXe8/edit?usp=sharing"",""ระนอง!M450"")"),0)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IFERROR(__xludf.DUMMYFUNCTION("IMPORTRANGE(""https://docs.google.com/spreadsheets/d/1IYY_tgx_IHuhSq3AJ5eI5OnqOPBNLWSHKh2a30DoXe8/edit?usp=sharing"",""ระนอง!M451"")"),0)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IFERROR(__xludf.DUMMYFUNCTION("IMPORTRANGE(""https://docs.google.com/spreadsheets/d/1IYY_tgx_IHuhSq3AJ5eI5OnqOPBNLWSHKh2a30DoXe8/edit?usp=sharing"",""ระนอง!M452"")"),0)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IFERROR(__xludf.DUMMYFUNCTION("IMPORTRANGE(""https://docs.google.com/spreadsheets/d/1IYY_tgx_IHuhSq3AJ5eI5OnqOPBNLWSHKh2a30DoXe8/edit?usp=sharing"",""ระนอง!M453"")"),0)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IFERROR(__xludf.DUMMYFUNCTION("IMPORTRANGE(""https://docs.google.com/spreadsheets/d/1IYY_tgx_IHuhSq3AJ5eI5OnqOPBNLWSHKh2a30DoXe8/edit?usp=sharing"",""ระนอง!M454"")"),0)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IFERROR(__xludf.DUMMYFUNCTION("IMPORTRANGE(""https://docs.google.com/spreadsheets/d/1IYY_tgx_IHuhSq3AJ5eI5OnqOPBNLWSHKh2a30DoXe8/edit?usp=sharing"",""ระนอง!I455"")"),0)</f>
        <v>0</v>
      </c>
      <c r="J560" s="166">
        <f ca="1">IFERROR(__xludf.DUMMYFUNCTION("IMPORTRANGE(""https://docs.google.com/spreadsheets/d/1IYY_tgx_IHuhSq3AJ5eI5OnqOPBNLWSHKh2a30DoXe8/edit?usp=sharing"",""ระนอง!J455"")"),0)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IFERROR(__xludf.DUMMYFUNCTION("IMPORTRANGE(""https://docs.google.com/spreadsheets/d/1IYY_tgx_IHuhSq3AJ5eI5OnqOPBNLWSHKh2a30DoXe8/edit?usp=sharing"",""ระนอง!I456"")"),0)</f>
        <v>0</v>
      </c>
      <c r="J561" s="210">
        <f ca="1">IFERROR(__xludf.DUMMYFUNCTION("IMPORTRANGE(""https://docs.google.com/spreadsheets/d/1IYY_tgx_IHuhSq3AJ5eI5OnqOPBNLWSHKh2a30DoXe8/edit?usp=sharing"",""ระนอง!J456"")"),0)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IFERROR(__xludf.DUMMYFUNCTION("IMPORTRANGE(""https://docs.google.com/spreadsheets/d/1IYY_tgx_IHuhSq3AJ5eI5OnqOPBNLWSHKh2a30DoXe8/edit?usp=sharing"",""ระนอง!J459"")"),690)</f>
        <v>690</v>
      </c>
      <c r="K564" s="378">
        <f ca="1">IF(I564&gt;0,J564*100/I564,0)</f>
        <v>172.5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IFERROR(__xludf.DUMMYFUNCTION("IMPORTRANGE(""https://docs.google.com/spreadsheets/d/1IYY_tgx_IHuhSq3AJ5eI5OnqOPBNLWSHKh2a30DoXe8/edit?usp=sharing"",""ระนอง!M459"")"),69772)</f>
        <v>69772</v>
      </c>
      <c r="O564" s="379">
        <f t="shared" ref="O564:O568" ca="1" si="122">+IF(L564&gt;0,N564*100/L564,0)</f>
        <v>55.515595162316998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IFERROR(__xludf.DUMMYFUNCTION("IMPORTRANGE(""https://docs.google.com/spreadsheets/d/1IYY_tgx_IHuhSq3AJ5eI5OnqOPBNLWSHKh2a30DoXe8/edit?usp=sharing"",""ระนอง!L460"")"),0)</f>
        <v>0</v>
      </c>
      <c r="M565" s="168"/>
      <c r="N565" s="175">
        <f ca="1">IFERROR(__xludf.DUMMYFUNCTION("IMPORTRANGE(""https://docs.google.com/spreadsheets/d/1IYY_tgx_IHuhSq3AJ5eI5OnqOPBNLWSHKh2a30DoXe8/edit?usp=sharing"",""ระนอง!M460"")"),0)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5">
        <f ca="1">IFERROR(__xludf.DUMMYFUNCTION("IMPORTRANGE(""https://docs.google.com/spreadsheets/d/1IYY_tgx_IHuhSq3AJ5eI5OnqOPBNLWSHKh2a30DoXe8/edit?usp=sharing"",""ระนอง!M461"")"),69772)</f>
        <v>69772</v>
      </c>
      <c r="O566" s="175">
        <f t="shared" ca="1" si="122"/>
        <v>55.515595162316998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IFERROR(__xludf.DUMMYFUNCTION("IMPORTRANGE(""https://docs.google.com/spreadsheets/d/1IYY_tgx_IHuhSq3AJ5eI5OnqOPBNLWSHKh2a30DoXe8/edit?usp=sharing"",""ระนอง!L462"")"),0)</f>
        <v>0</v>
      </c>
      <c r="M567" s="175"/>
      <c r="N567" s="175">
        <f ca="1">IFERROR(__xludf.DUMMYFUNCTION("IMPORTRANGE(""https://docs.google.com/spreadsheets/d/1IYY_tgx_IHuhSq3AJ5eI5OnqOPBNLWSHKh2a30DoXe8/edit?usp=sharing"",""ระนอง!M462"")"),0)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IFERROR(__xludf.DUMMYFUNCTION("IMPORTRANGE(""https://docs.google.com/spreadsheets/d/1IYY_tgx_IHuhSq3AJ5eI5OnqOPBNLWSHKh2a30DoXe8/edit?usp=sharing"",""ระนอง!L463"")"),125680)</f>
        <v>125680</v>
      </c>
      <c r="M568" s="175"/>
      <c r="N568" s="175">
        <f ca="1">IFERROR(__xludf.DUMMYFUNCTION("IMPORTRANGE(""https://docs.google.com/spreadsheets/d/1IYY_tgx_IHuhSq3AJ5eI5OnqOPBNLWSHKh2a30DoXe8/edit?usp=sharing"",""ระนอง!M463"")"),69772)</f>
        <v>69772</v>
      </c>
      <c r="O568" s="175">
        <f t="shared" ca="1" si="122"/>
        <v>55.515595162316998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IFERROR(__xludf.DUMMYFUNCTION("IMPORTRANGE(""https://docs.google.com/spreadsheets/d/1IYY_tgx_IHuhSq3AJ5eI5OnqOPBNLWSHKh2a30DoXe8/edit?usp=sharing"",""ระนอง!M464"")"),0)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IFERROR(__xludf.DUMMYFUNCTION("IMPORTRANGE(""https://docs.google.com/spreadsheets/d/1IYY_tgx_IHuhSq3AJ5eI5OnqOPBNLWSHKh2a30DoXe8/edit?usp=sharing"",""ระนอง!M465"")"),0)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IFERROR(__xludf.DUMMYFUNCTION("IMPORTRANGE(""https://docs.google.com/spreadsheets/d/1IYY_tgx_IHuhSq3AJ5eI5OnqOPBNLWSHKh2a30DoXe8/edit?usp=sharing"",""ระนอง!M467"")"),16240)</f>
        <v>16240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IFERROR(__xludf.DUMMYFUNCTION("IMPORTRANGE(""https://docs.google.com/spreadsheets/d/1IYY_tgx_IHuhSq3AJ5eI5OnqOPBNLWSHKh2a30DoXe8/edit?usp=sharing"",""ระนอง!J468"")"),690)</f>
        <v>690</v>
      </c>
      <c r="K573" s="208">
        <f ca="1">IF(I573&gt;0,J573*100/I573,0)</f>
        <v>172.5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IFERROR(__xludf.DUMMYFUNCTION("IMPORTRANGE(""https://docs.google.com/spreadsheets/d/1IYY_tgx_IHuhSq3AJ5eI5OnqOPBNLWSHKh2a30DoXe8/edit?usp=sharing"",""ระนอง!I470"")"),0)</f>
        <v>0</v>
      </c>
      <c r="J575" s="204">
        <f ca="1">IFERROR(__xludf.DUMMYFUNCTION("IMPORTRANGE(""https://docs.google.com/spreadsheets/d/1IYY_tgx_IHuhSq3AJ5eI5OnqOPBNLWSHKh2a30DoXe8/edit?usp=sharing"",""ระนอง!J470"")"),4)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IFERROR(__xludf.DUMMYFUNCTION("IMPORTRANGE(""https://docs.google.com/spreadsheets/d/1IYY_tgx_IHuhSq3AJ5eI5OnqOPBNLWSHKh2a30DoXe8/edit?usp=sharing"",""ระนอง!I471"")"),0)</f>
        <v>0</v>
      </c>
      <c r="J576" s="204">
        <f ca="1">IFERROR(__xludf.DUMMYFUNCTION("IMPORTRANGE(""https://docs.google.com/spreadsheets/d/1IYY_tgx_IHuhSq3AJ5eI5OnqOPBNLWSHKh2a30DoXe8/edit?usp=sharing"",""ระนอง!J471"")"),119)</f>
        <v>119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IFERROR(__xludf.DUMMYFUNCTION("IMPORTRANGE(""https://docs.google.com/spreadsheets/d/1IYY_tgx_IHuhSq3AJ5eI5OnqOPBNLWSHKh2a30DoXe8/edit?usp=sharing"",""ระนอง!I472"")"),0)</f>
        <v>0</v>
      </c>
      <c r="J577" s="195">
        <f ca="1">IFERROR(__xludf.DUMMYFUNCTION("IMPORTRANGE(""https://docs.google.com/spreadsheets/d/1IYY_tgx_IHuhSq3AJ5eI5OnqOPBNLWSHKh2a30DoXe8/edit?usp=sharing"",""ระนอง!J472"")"),571)</f>
        <v>571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IFERROR(__xludf.DUMMYFUNCTION("IMPORTRANGE(""https://docs.google.com/spreadsheets/d/1IYY_tgx_IHuhSq3AJ5eI5OnqOPBNLWSHKh2a30DoXe8/edit?usp=sharing"",""ระนอง!I473"")"),0)</f>
        <v>0</v>
      </c>
      <c r="J578" s="204">
        <f ca="1">IFERROR(__xludf.DUMMYFUNCTION("IMPORTRANGE(""https://docs.google.com/spreadsheets/d/1IYY_tgx_IHuhSq3AJ5eI5OnqOPBNLWSHKh2a30DoXe8/edit?usp=sharing"",""ระนอง!J473"")"),0)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IFERROR(__xludf.DUMMYFUNCTION("IMPORTRANGE(""https://docs.google.com/spreadsheets/d/1IYY_tgx_IHuhSq3AJ5eI5OnqOPBNLWSHKh2a30DoXe8/edit?usp=sharing"",""ระนอง!I474"")"),0)</f>
        <v>0</v>
      </c>
      <c r="J579" s="204">
        <f ca="1">IFERROR(__xludf.DUMMYFUNCTION("IMPORTRANGE(""https://docs.google.com/spreadsheets/d/1IYY_tgx_IHuhSq3AJ5eI5OnqOPBNLWSHKh2a30DoXe8/edit?usp=sharing"",""ระนอง!J474"")"),0)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IFERROR(__xludf.DUMMYFUNCTION("IMPORTRANGE(""https://docs.google.com/spreadsheets/d/1IYY_tgx_IHuhSq3AJ5eI5OnqOPBNLWSHKh2a30DoXe8/edit?usp=sharing"",""ระนอง!L476"")"),0)</f>
        <v>0</v>
      </c>
      <c r="M581" s="168"/>
      <c r="N581" s="175">
        <f ca="1">IFERROR(__xludf.DUMMYFUNCTION("IMPORTRANGE(""https://docs.google.com/spreadsheets/d/1IYY_tgx_IHuhSq3AJ5eI5OnqOPBNLWSHKh2a30DoXe8/edit?usp=sharing"",""ระนอง!M476"")"),0)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5">
        <f ca="1">IFERROR(__xludf.DUMMYFUNCTION("IMPORTRANGE(""https://docs.google.com/spreadsheets/d/1IYY_tgx_IHuhSq3AJ5eI5OnqOPBNLWSHKh2a30DoXe8/edit?usp=sharing"",""ระนอง!M477"")"),0)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IFERROR(__xludf.DUMMYFUNCTION("IMPORTRANGE(""https://docs.google.com/spreadsheets/d/1IYY_tgx_IHuhSq3AJ5eI5OnqOPBNLWSHKh2a30DoXe8/edit?usp=sharing"",""ระนอง!L478"")"),0)</f>
        <v>0</v>
      </c>
      <c r="M583" s="175"/>
      <c r="N583" s="175">
        <f ca="1">IFERROR(__xludf.DUMMYFUNCTION("IMPORTRANGE(""https://docs.google.com/spreadsheets/d/1IYY_tgx_IHuhSq3AJ5eI5OnqOPBNLWSHKh2a30DoXe8/edit?usp=sharing"",""ระนอง!M478"")"),0)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IFERROR(__xludf.DUMMYFUNCTION("IMPORTRANGE(""https://docs.google.com/spreadsheets/d/1IYY_tgx_IHuhSq3AJ5eI5OnqOPBNLWSHKh2a30DoXe8/edit?usp=sharing"",""ระนอง!L479"")"),0)</f>
        <v>0</v>
      </c>
      <c r="M584" s="175"/>
      <c r="N584" s="175">
        <f ca="1">IFERROR(__xludf.DUMMYFUNCTION("IMPORTRANGE(""https://docs.google.com/spreadsheets/d/1IYY_tgx_IHuhSq3AJ5eI5OnqOPBNLWSHKh2a30DoXe8/edit?usp=sharing"",""ระนอง!M479"")"),0)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IFERROR(__xludf.DUMMYFUNCTION("IMPORTRANGE(""https://docs.google.com/spreadsheets/d/1IYY_tgx_IHuhSq3AJ5eI5OnqOPBNLWSHKh2a30DoXe8/edit?usp=sharing"",""ระนอง!M480"")"),0)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IFERROR(__xludf.DUMMYFUNCTION("IMPORTRANGE(""https://docs.google.com/spreadsheets/d/1IYY_tgx_IHuhSq3AJ5eI5OnqOPBNLWSHKh2a30DoXe8/edit?usp=sharing"",""ระนอง!M481"")"),0)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IFERROR(__xludf.DUMMYFUNCTION("IMPORTRANGE(""https://docs.google.com/spreadsheets/d/1IYY_tgx_IHuhSq3AJ5eI5OnqOPBNLWSHKh2a30DoXe8/edit?usp=sharing"",""ระนอง!M482"")"),0)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IFERROR(__xludf.DUMMYFUNCTION("IMPORTRANGE(""https://docs.google.com/spreadsheets/d/1IYY_tgx_IHuhSq3AJ5eI5OnqOPBNLWSHKh2a30DoXe8/edit?usp=sharing"",""ระนอง!M483"")"),0)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4">
        <f ca="1">IFERROR(__xludf.DUMMYFUNCTION("IMPORTRANGE(""https://docs.google.com/spreadsheets/d/1IYY_tgx_IHuhSq3AJ5eI5OnqOPBNLWSHKh2a30DoXe8/edit?usp=sharing"",""ระนอง!J484"")"),0)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4">
        <f ca="1">IFERROR(__xludf.DUMMYFUNCTION("IMPORTRANGE(""https://docs.google.com/spreadsheets/d/1IYY_tgx_IHuhSq3AJ5eI5OnqOPBNLWSHKh2a30DoXe8/edit?usp=sharing"",""ระนอง!J485"")"),0)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4">
        <f ca="1">IFERROR(__xludf.DUMMYFUNCTION("IMPORTRANGE(""https://docs.google.com/spreadsheets/d/1IYY_tgx_IHuhSq3AJ5eI5OnqOPBNLWSHKh2a30DoXe8/edit?usp=sharing"",""ระนอง!J486"")"),0)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4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4">
        <f ca="1">IFERROR(__xludf.DUMMYFUNCTION("IMPORTRANGE(""https://docs.google.com/spreadsheets/d/1IYY_tgx_IHuhSq3AJ5eI5OnqOPBNLWSHKh2a30DoXe8/edit?usp=sharing"",""ระนอง!J488"")"),0)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4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4">
        <f ca="1">IFERROR(__xludf.DUMMYFUNCTION("IMPORTRANGE(""https://docs.google.com/spreadsheets/d/1IYY_tgx_IHuhSq3AJ5eI5OnqOPBNLWSHKh2a30DoXe8/edit?usp=sharing"",""ระนอง!J490"")"),0)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IFERROR(__xludf.DUMMYFUNCTION("IMPORTRANGE(""https://docs.google.com/spreadsheets/d/1IYY_tgx_IHuhSq3AJ5eI5OnqOPBNLWSHKh2a30DoXe8/edit?usp=sharing"",""ระนอง!I491"")"),0)</f>
        <v>0</v>
      </c>
      <c r="J596" s="247">
        <f ca="1">IFERROR(__xludf.DUMMYFUNCTION("IMPORTRANGE(""https://docs.google.com/spreadsheets/d/1IYY_tgx_IHuhSq3AJ5eI5OnqOPBNLWSHKh2a30DoXe8/edit?usp=sharing"",""ระนอง!J491"")"),0)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4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IFERROR(__xludf.DUMMYFUNCTION("IMPORTRANGE(""https://docs.google.com/spreadsheets/d/1IYY_tgx_IHuhSq3AJ5eI5OnqOPBNLWSHKh2a30DoXe8/edit?usp=sharing"",""ระนอง!L492"")"),7750)</f>
        <v>7750</v>
      </c>
      <c r="M597" s="418"/>
      <c r="N597" s="418">
        <f ca="1">IFERROR(__xludf.DUMMYFUNCTION("IMPORTRANGE(""https://docs.google.com/spreadsheets/d/1IYY_tgx_IHuhSq3AJ5eI5OnqOPBNLWSHKh2a30DoXe8/edit?usp=sharing"",""ระนอง!M492"")"),3400)</f>
        <v>3400</v>
      </c>
      <c r="O597" s="418">
        <f t="shared" ref="O597:O601" ca="1" si="126">+IF(L597&gt;0,N597*100/L597,0)</f>
        <v>43.87096774193548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IFERROR(__xludf.DUMMYFUNCTION("IMPORTRANGE(""https://docs.google.com/spreadsheets/d/1IYY_tgx_IHuhSq3AJ5eI5OnqOPBNLWSHKh2a30DoXe8/edit?usp=sharing"",""ระนอง!L493"")"),0)</f>
        <v>0</v>
      </c>
      <c r="M598" s="168"/>
      <c r="N598" s="175">
        <f ca="1">IFERROR(__xludf.DUMMYFUNCTION("IMPORTRANGE(""https://docs.google.com/spreadsheets/d/1IYY_tgx_IHuhSq3AJ5eI5OnqOPBNLWSHKh2a30DoXe8/edit?usp=sharing"",""ระนอง!M493"")"),0)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IFERROR(__xludf.DUMMYFUNCTION("IMPORTRANGE(""https://docs.google.com/spreadsheets/d/1IYY_tgx_IHuhSq3AJ5eI5OnqOPBNLWSHKh2a30DoXe8/edit?usp=sharing"",""ระนอง!L494"")"),7750)</f>
        <v>7750</v>
      </c>
      <c r="M599" s="169"/>
      <c r="N599" s="175">
        <f ca="1">IFERROR(__xludf.DUMMYFUNCTION("IMPORTRANGE(""https://docs.google.com/spreadsheets/d/1IYY_tgx_IHuhSq3AJ5eI5OnqOPBNLWSHKh2a30DoXe8/edit?usp=sharing"",""ระนอง!M494"")"),3400)</f>
        <v>3400</v>
      </c>
      <c r="O599" s="175">
        <f t="shared" ca="1" si="126"/>
        <v>43.87096774193548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IFERROR(__xludf.DUMMYFUNCTION("IMPORTRANGE(""https://docs.google.com/spreadsheets/d/1IYY_tgx_IHuhSq3AJ5eI5OnqOPBNLWSHKh2a30DoXe8/edit?usp=sharing"",""ระนอง!L495"")"),0)</f>
        <v>0</v>
      </c>
      <c r="M600" s="175"/>
      <c r="N600" s="175">
        <f ca="1">IFERROR(__xludf.DUMMYFUNCTION("IMPORTRANGE(""https://docs.google.com/spreadsheets/d/1IYY_tgx_IHuhSq3AJ5eI5OnqOPBNLWSHKh2a30DoXe8/edit?usp=sharing"",""ระนอง!M495"")"),0)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IFERROR(__xludf.DUMMYFUNCTION("IMPORTRANGE(""https://docs.google.com/spreadsheets/d/1IYY_tgx_IHuhSq3AJ5eI5OnqOPBNLWSHKh2a30DoXe8/edit?usp=sharing"",""ระนอง!L496"")"),7750)</f>
        <v>7750</v>
      </c>
      <c r="M601" s="175"/>
      <c r="N601" s="175">
        <f ca="1">IFERROR(__xludf.DUMMYFUNCTION("IMPORTRANGE(""https://docs.google.com/spreadsheets/d/1IYY_tgx_IHuhSq3AJ5eI5OnqOPBNLWSHKh2a30DoXe8/edit?usp=sharing"",""ระนอง!M496"")"),3400)</f>
        <v>3400</v>
      </c>
      <c r="O601" s="175">
        <f t="shared" ca="1" si="126"/>
        <v>43.87096774193548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IFERROR(__xludf.DUMMYFUNCTION("IMPORTRANGE(""https://docs.google.com/spreadsheets/d/1IYY_tgx_IHuhSq3AJ5eI5OnqOPBNLWSHKh2a30DoXe8/edit?usp=sharing"",""ระนอง!M497"")"),0)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IFERROR(__xludf.DUMMYFUNCTION("IMPORTRANGE(""https://docs.google.com/spreadsheets/d/1IYY_tgx_IHuhSq3AJ5eI5OnqOPBNLWSHKh2a30DoXe8/edit?usp=sharing"",""ระนอง!M498"")"),0)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IFERROR(__xludf.DUMMYFUNCTION("IMPORTRANGE(""https://docs.google.com/spreadsheets/d/1IYY_tgx_IHuhSq3AJ5eI5OnqOPBNLWSHKh2a30DoXe8/edit?usp=sharing"",""ระนอง!M499"")"),2400)</f>
        <v>2400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IFERROR(__xludf.DUMMYFUNCTION("IMPORTRANGE(""https://docs.google.com/spreadsheets/d/1IYY_tgx_IHuhSq3AJ5eI5OnqOPBNLWSHKh2a30DoXe8/edit?usp=sharing"",""ระนอง!M500"")"),1000)</f>
        <v>1000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IFERROR(__xludf.DUMMYFUNCTION("IMPORTRANGE(""https://docs.google.com/spreadsheets/d/1IYY_tgx_IHuhSq3AJ5eI5OnqOPBNLWSHKh2a30DoXe8/edit?usp=sharing"",""ระนอง!J502"")"),0)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IFERROR(__xludf.DUMMYFUNCTION("IMPORTRANGE(""https://docs.google.com/spreadsheets/d/1IYY_tgx_IHuhSq3AJ5eI5OnqOPBNLWSHKh2a30DoXe8/edit?usp=sharing"",""ระนอง!J503"")"),1)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IFERROR(__xludf.DUMMYFUNCTION("IMPORTRANGE(""https://docs.google.com/spreadsheets/d/1IYY_tgx_IHuhSq3AJ5eI5OnqOPBNLWSHKh2a30DoXe8/edit?usp=sharing"",""ระนอง!J166"")"),0)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IFERROR(__xludf.DUMMYFUNCTION("IMPORTRANGE(""https://docs.google.com/spreadsheets/d/1IYY_tgx_IHuhSq3AJ5eI5OnqOPBNLWSHKh2a30DoXe8/edit?usp=sharing"",""ระนอง!J166"")"),0)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IFERROR(__xludf.DUMMYFUNCTION("IMPORTRANGE(""https://docs.google.com/spreadsheets/d/1IYY_tgx_IHuhSq3AJ5eI5OnqOPBNLWSHKh2a30DoXe8/edit?usp=sharing"",""ระนอง!I506"")"),50)</f>
        <v>50</v>
      </c>
      <c r="J611" s="166">
        <f ca="1">IFERROR(__xludf.DUMMYFUNCTION("IMPORTRANGE(""https://docs.google.com/spreadsheets/d/1IYY_tgx_IHuhSq3AJ5eI5OnqOPBNLWSHKh2a30DoXe8/edit?usp=sharing"",""ระนอง!J506"")"),0)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IFERROR(__xludf.DUMMYFUNCTION("IMPORTRANGE(""https://docs.google.com/spreadsheets/d/1IYY_tgx_IHuhSq3AJ5eI5OnqOPBNLWSHKh2a30DoXe8/edit?usp=sharing"",""ระนอง!I507"")"),0)</f>
        <v>0</v>
      </c>
      <c r="J612" s="204">
        <f ca="1">IFERROR(__xludf.DUMMYFUNCTION("IMPORTRANGE(""https://docs.google.com/spreadsheets/d/1IYY_tgx_IHuhSq3AJ5eI5OnqOPBNLWSHKh2a30DoXe8/edit?usp=sharing"",""ระนอง!J507"")"),0)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IFERROR(__xludf.DUMMYFUNCTION("IMPORTRANGE(""https://docs.google.com/spreadsheets/d/1IYY_tgx_IHuhSq3AJ5eI5OnqOPBNLWSHKh2a30DoXe8/edit?usp=sharing"",""ระนอง!I508"")"),0)</f>
        <v>0</v>
      </c>
      <c r="J613" s="204">
        <f ca="1">IFERROR(__xludf.DUMMYFUNCTION("IMPORTRANGE(""https://docs.google.com/spreadsheets/d/1IYY_tgx_IHuhSq3AJ5eI5OnqOPBNLWSHKh2a30DoXe8/edit?usp=sharing"",""ระนอง!J508"")"),0)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IFERROR(__xludf.DUMMYFUNCTION("IMPORTRANGE(""https://docs.google.com/spreadsheets/d/1IYY_tgx_IHuhSq3AJ5eI5OnqOPBNLWSHKh2a30DoXe8/edit?usp=sharing"",""ระนอง!I509"")"),0)</f>
        <v>0</v>
      </c>
      <c r="J614" s="204">
        <f ca="1">IFERROR(__xludf.DUMMYFUNCTION("IMPORTRANGE(""https://docs.google.com/spreadsheets/d/1IYY_tgx_IHuhSq3AJ5eI5OnqOPBNLWSHKh2a30DoXe8/edit?usp=sharing"",""ระนอง!J509"")"),0)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IFERROR(__xludf.DUMMYFUNCTION("IMPORTRANGE(""https://docs.google.com/spreadsheets/d/1IYY_tgx_IHuhSq3AJ5eI5OnqOPBNLWSHKh2a30DoXe8/edit?usp=sharing"",""ระนอง!I510"")"),0)</f>
        <v>0</v>
      </c>
      <c r="J615" s="204">
        <f ca="1">IFERROR(__xludf.DUMMYFUNCTION("IMPORTRANGE(""https://docs.google.com/spreadsheets/d/1IYY_tgx_IHuhSq3AJ5eI5OnqOPBNLWSHKh2a30DoXe8/edit?usp=sharing"",""ระนอง!J510"")"),0)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IFERROR(__xludf.DUMMYFUNCTION("IMPORTRANGE(""https://docs.google.com/spreadsheets/d/1IYY_tgx_IHuhSq3AJ5eI5OnqOPBNLWSHKh2a30DoXe8/edit?usp=sharing"",""ระนอง!I511"")"),0)</f>
        <v>0</v>
      </c>
      <c r="J616" s="204">
        <f ca="1">IFERROR(__xludf.DUMMYFUNCTION("IMPORTRANGE(""https://docs.google.com/spreadsheets/d/1IYY_tgx_IHuhSq3AJ5eI5OnqOPBNLWSHKh2a30DoXe8/edit?usp=sharing"",""ระนอง!J511"")"),0)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IFERROR(__xludf.DUMMYFUNCTION("IMPORTRANGE(""https://docs.google.com/spreadsheets/d/1IYY_tgx_IHuhSq3AJ5eI5OnqOPBNLWSHKh2a30DoXe8/edit?usp=sharing"",""ระนอง!I512"")"),0)</f>
        <v>0</v>
      </c>
      <c r="J617" s="194">
        <f ca="1">IFERROR(__xludf.DUMMYFUNCTION("IMPORTRANGE(""https://docs.google.com/spreadsheets/d/1IYY_tgx_IHuhSq3AJ5eI5OnqOPBNLWSHKh2a30DoXe8/edit?usp=sharing"",""ระนอง!J512"")"),0)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IFERROR(__xludf.DUMMYFUNCTION("IMPORTRANGE(""https://docs.google.com/spreadsheets/d/1IYY_tgx_IHuhSq3AJ5eI5OnqOPBNLWSHKh2a30DoXe8/edit?usp=sharing"",""ระนอง!I513"")"),0)</f>
        <v>0</v>
      </c>
      <c r="J618" s="195">
        <f ca="1">IFERROR(__xludf.DUMMYFUNCTION("IMPORTRANGE(""https://docs.google.com/spreadsheets/d/1IYY_tgx_IHuhSq3AJ5eI5OnqOPBNLWSHKh2a30DoXe8/edit?usp=sharing"",""ระนอง!J513"")"),0)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IFERROR(__xludf.DUMMYFUNCTION("IMPORTRANGE(""https://docs.google.com/spreadsheets/d/1IYY_tgx_IHuhSq3AJ5eI5OnqOPBNLWSHKh2a30DoXe8/edit?usp=sharing"",""ระนอง!I514"")"),0)</f>
        <v>0</v>
      </c>
      <c r="J619" s="195">
        <f ca="1">IFERROR(__xludf.DUMMYFUNCTION("IMPORTRANGE(""https://docs.google.com/spreadsheets/d/1IYY_tgx_IHuhSq3AJ5eI5OnqOPBNLWSHKh2a30DoXe8/edit?usp=sharing"",""ระนอง!J514"")"),0)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IFERROR(__xludf.DUMMYFUNCTION("IMPORTRANGE(""https://docs.google.com/spreadsheets/d/1IYY_tgx_IHuhSq3AJ5eI5OnqOPBNLWSHKh2a30DoXe8/edit?usp=sharing"",""ระนอง!I515"")"),0)</f>
        <v>0</v>
      </c>
      <c r="J620" s="209">
        <f ca="1">IFERROR(__xludf.DUMMYFUNCTION("IMPORTRANGE(""https://docs.google.com/spreadsheets/d/1IYY_tgx_IHuhSq3AJ5eI5OnqOPBNLWSHKh2a30DoXe8/edit?usp=sharing"",""ระนอง!J515"")"),0)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IFERROR(__xludf.DUMMYFUNCTION("IMPORTRANGE(""https://docs.google.com/spreadsheets/d/1IYY_tgx_IHuhSq3AJ5eI5OnqOPBNLWSHKh2a30DoXe8/edit?usp=sharing"",""ระนอง!I516"")"),0)</f>
        <v>0</v>
      </c>
      <c r="J621" s="209">
        <f ca="1">IFERROR(__xludf.DUMMYFUNCTION("IMPORTRANGE(""https://docs.google.com/spreadsheets/d/1IYY_tgx_IHuhSq3AJ5eI5OnqOPBNLWSHKh2a30DoXe8/edit?usp=sharing"",""ระนอง!J516"")"),0)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IFERROR(__xludf.DUMMYFUNCTION("IMPORTRANGE(""https://docs.google.com/spreadsheets/d/1IYY_tgx_IHuhSq3AJ5eI5OnqOPBNLWSHKh2a30DoXe8/edit?usp=sharing"",""ระนอง!I517"")"),0)</f>
        <v>0</v>
      </c>
      <c r="J622" s="195">
        <f ca="1">IFERROR(__xludf.DUMMYFUNCTION("IMPORTRANGE(""https://docs.google.com/spreadsheets/d/1IYY_tgx_IHuhSq3AJ5eI5OnqOPBNLWSHKh2a30DoXe8/edit?usp=sharing"",""ระนอง!J517"")"),0)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IFERROR(__xludf.DUMMYFUNCTION("IMPORTRANGE(""https://docs.google.com/spreadsheets/d/1IYY_tgx_IHuhSq3AJ5eI5OnqOPBNLWSHKh2a30DoXe8/edit?usp=sharing"",""ระนอง!I518"")"),0)</f>
        <v>0</v>
      </c>
      <c r="J623" s="195">
        <f ca="1">IFERROR(__xludf.DUMMYFUNCTION("IMPORTRANGE(""https://docs.google.com/spreadsheets/d/1IYY_tgx_IHuhSq3AJ5eI5OnqOPBNLWSHKh2a30DoXe8/edit?usp=sharing"",""ระนอง!J518"")"),0)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IFERROR(__xludf.DUMMYFUNCTION("IMPORTRANGE(""https://docs.google.com/spreadsheets/d/1IYY_tgx_IHuhSq3AJ5eI5OnqOPBNLWSHKh2a30DoXe8/edit?usp=sharing"",""ระนอง!I519"")"),0)</f>
        <v>0</v>
      </c>
      <c r="J624" s="194">
        <f ca="1">IFERROR(__xludf.DUMMYFUNCTION("IMPORTRANGE(""https://docs.google.com/spreadsheets/d/1IYY_tgx_IHuhSq3AJ5eI5OnqOPBNLWSHKh2a30DoXe8/edit?usp=sharing"",""ระนอง!J519"")"),0)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IFERROR(__xludf.DUMMYFUNCTION("IMPORTRANGE(""https://docs.google.com/spreadsheets/d/1IYY_tgx_IHuhSq3AJ5eI5OnqOPBNLWSHKh2a30DoXe8/edit?usp=sharing"",""ระนอง!I520"")"),0)</f>
        <v>0</v>
      </c>
      <c r="J625" s="195">
        <f ca="1">IFERROR(__xludf.DUMMYFUNCTION("IMPORTRANGE(""https://docs.google.com/spreadsheets/d/1IYY_tgx_IHuhSq3AJ5eI5OnqOPBNLWSHKh2a30DoXe8/edit?usp=sharing"",""ระนอง!J520"")"),0)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IFERROR(__xludf.DUMMYFUNCTION("IMPORTRANGE(""https://docs.google.com/spreadsheets/d/1IYY_tgx_IHuhSq3AJ5eI5OnqOPBNLWSHKh2a30DoXe8/edit?usp=sharing"",""ระนอง!I521"")"),0)</f>
        <v>0</v>
      </c>
      <c r="J626" s="195">
        <f ca="1">IFERROR(__xludf.DUMMYFUNCTION("IMPORTRANGE(""https://docs.google.com/spreadsheets/d/1IYY_tgx_IHuhSq3AJ5eI5OnqOPBNLWSHKh2a30DoXe8/edit?usp=sharing"",""ระนอง!J521"")"),0)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IFERROR(__xludf.DUMMYFUNCTION("IMPORTRANGE(""https://docs.google.com/spreadsheets/d/1IYY_tgx_IHuhSq3AJ5eI5OnqOPBNLWSHKh2a30DoXe8/edit?usp=sharing"",""ระนอง!J523"")"),771349.1)</f>
        <v>771349.1</v>
      </c>
      <c r="K628" s="348">
        <f t="shared" ref="K628:K635" ca="1" si="129">IF(I628&gt;0,J628*100/I628,0)</f>
        <v>63.760154675115992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IFERROR(__xludf.DUMMYFUNCTION("IMPORTRANGE(""https://docs.google.com/spreadsheets/d/1IYY_tgx_IHuhSq3AJ5eI5OnqOPBNLWSHKh2a30DoXe8/edit?usp=sharing"",""ระนอง!J524"")"),77)</f>
        <v>77</v>
      </c>
      <c r="K629" s="348">
        <f t="shared" ca="1" si="129"/>
        <v>63.636363636363633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IFERROR(__xludf.DUMMYFUNCTION("IMPORTRANGE(""https://docs.google.com/spreadsheets/d/1IYY_tgx_IHuhSq3AJ5eI5OnqOPBNLWSHKh2a30DoXe8/edit?usp=sharing"",""ระนอง!J525"")"),236834.17)</f>
        <v>236834.17</v>
      </c>
      <c r="K630" s="348">
        <f t="shared" ca="1" si="129"/>
        <v>10.740299243694079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IFERROR(__xludf.DUMMYFUNCTION("IMPORTRANGE(""https://docs.google.com/spreadsheets/d/1IYY_tgx_IHuhSq3AJ5eI5OnqOPBNLWSHKh2a30DoXe8/edit?usp=sharing"",""ระนอง!J526"")"),40)</f>
        <v>40</v>
      </c>
      <c r="K631" s="348">
        <f t="shared" ca="1" si="129"/>
        <v>29.850746268656717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IFERROR(__xludf.DUMMYFUNCTION("IMPORTRANGE(""https://docs.google.com/spreadsheets/d/1IYY_tgx_IHuhSq3AJ5eI5OnqOPBNLWSHKh2a30DoXe8/edit?usp=sharing"",""ระนอง!J529"")"),900000)</f>
        <v>900000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IFERROR(__xludf.DUMMYFUNCTION("IMPORTRANGE(""https://docs.google.com/spreadsheets/d/1IYY_tgx_IHuhSq3AJ5eI5OnqOPBNLWSHKh2a30DoXe8/edit?usp=sharing"",""ระนอง!I530"")"),30)</f>
        <v>30</v>
      </c>
      <c r="J635" s="518">
        <f ca="1">IFERROR(__xludf.DUMMYFUNCTION("IMPORTRANGE(""https://docs.google.com/spreadsheets/d/1IYY_tgx_IHuhSq3AJ5eI5OnqOPBNLWSHKh2a30DoXe8/edit?usp=sharing"",""ระนอง!J530"")"),30)</f>
        <v>30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IFERROR(__xludf.DUMMYFUNCTION("IMPORTRANGE(""https://docs.google.com/spreadsheets/d/1IYY_tgx_IHuhSq3AJ5eI5OnqOPBNLWSHKh2a30DoXe8/edit?usp=sharing"",""ระนอง!J541"")"),0)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IFERROR(__xludf.DUMMYFUNCTION("IMPORTRANGE(""https://docs.google.com/spreadsheets/d/1IYY_tgx_IHuhSq3AJ5eI5OnqOPBNLWSHKh2a30DoXe8/edit?usp=sharing"",""ระนอง!J542"")"),0)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IFERROR(__xludf.DUMMYFUNCTION("IMPORTRANGE(""https://docs.google.com/spreadsheets/d/1IYY_tgx_IHuhSq3AJ5eI5OnqOPBNLWSHKh2a30DoXe8/edit?usp=sharing"",""ระนอง!I543"")"),0)</f>
        <v>0</v>
      </c>
      <c r="J648" s="547">
        <f ca="1">IFERROR(__xludf.DUMMYFUNCTION("IMPORTRANGE(""https://docs.google.com/spreadsheets/d/1IYY_tgx_IHuhSq3AJ5eI5OnqOPBNLWSHKh2a30DoXe8/edit?usp=sharing"",""ระนอง!J543"")"),0)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IFERROR(__xludf.DUMMYFUNCTION("IMPORTRANGE(""https://docs.google.com/spreadsheets/d/1IYY_tgx_IHuhSq3AJ5eI5OnqOPBNLWSHKh2a30DoXe8/edit?usp=sharing"",""ระนอง!L543"")"),0)</f>
        <v>0</v>
      </c>
      <c r="M648" s="534"/>
      <c r="N648" s="549">
        <f ca="1">IFERROR(__xludf.DUMMYFUNCTION("IMPORTRANGE(""https://docs.google.com/spreadsheets/d/1IYY_tgx_IHuhSq3AJ5eI5OnqOPBNLWSHKh2a30DoXe8/edit?usp=sharing"",""ระนอง!M543"")"),0)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IFERROR(__xludf.DUMMYFUNCTION("IMPORTRANGE(""https://docs.google.com/spreadsheets/d/1IYY_tgx_IHuhSq3AJ5eI5OnqOPBNLWSHKh2a30DoXe8/edit?usp=sharing"",""ระนอง!I544"")"),0)</f>
        <v>0</v>
      </c>
      <c r="J649" s="547">
        <f ca="1">IFERROR(__xludf.DUMMYFUNCTION("IMPORTRANGE(""https://docs.google.com/spreadsheets/d/1IYY_tgx_IHuhSq3AJ5eI5OnqOPBNLWSHKh2a30DoXe8/edit?usp=sharing"",""ระนอง!J544"")"),0)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IFERROR(__xludf.DUMMYFUNCTION("IMPORTRANGE(""https://docs.google.com/spreadsheets/d/1IYY_tgx_IHuhSq3AJ5eI5OnqOPBNLWSHKh2a30DoXe8/edit?usp=sharing"",""ระนอง!L544"")"),0)</f>
        <v>0</v>
      </c>
      <c r="M649" s="534"/>
      <c r="N649" s="549">
        <f ca="1">IFERROR(__xludf.DUMMYFUNCTION("IMPORTRANGE(""https://docs.google.com/spreadsheets/d/1IYY_tgx_IHuhSq3AJ5eI5OnqOPBNLWSHKh2a30DoXe8/edit?usp=sharing"",""ระนอง!M544"")"),0)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IFERROR(__xludf.DUMMYFUNCTION("IMPORTRANGE(""https://docs.google.com/spreadsheets/d/1IYY_tgx_IHuhSq3AJ5eI5OnqOPBNLWSHKh2a30DoXe8/edit?usp=sharing"",""ระนอง!I545"")"),0)</f>
        <v>0</v>
      </c>
      <c r="J650" s="547">
        <f ca="1">IFERROR(__xludf.DUMMYFUNCTION("IMPORTRANGE(""https://docs.google.com/spreadsheets/d/1IYY_tgx_IHuhSq3AJ5eI5OnqOPBNLWSHKh2a30DoXe8/edit?usp=sharing"",""ระนอง!J545"")"),0)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IFERROR(__xludf.DUMMYFUNCTION("IMPORTRANGE(""https://docs.google.com/spreadsheets/d/1IYY_tgx_IHuhSq3AJ5eI5OnqOPBNLWSHKh2a30DoXe8/edit?usp=sharing"",""ระนอง!L545"")"),0)</f>
        <v>0</v>
      </c>
      <c r="M650" s="534"/>
      <c r="N650" s="549">
        <f ca="1">IFERROR(__xludf.DUMMYFUNCTION("IMPORTRANGE(""https://docs.google.com/spreadsheets/d/1IYY_tgx_IHuhSq3AJ5eI5OnqOPBNLWSHKh2a30DoXe8/edit?usp=sharing"",""ระนอง!M545"")"),0)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IFERROR(__xludf.DUMMYFUNCTION("IMPORTRANGE(""https://docs.google.com/spreadsheets/d/1IYY_tgx_IHuhSq3AJ5eI5OnqOPBNLWSHKh2a30DoXe8/edit?usp=sharing"",""ระนอง!I546"")"),0)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IFERROR(__xludf.DUMMYFUNCTION("IMPORTRANGE(""https://docs.google.com/spreadsheets/d/1IYY_tgx_IHuhSq3AJ5eI5OnqOPBNLWSHKh2a30DoXe8/edit?usp=sharing"",""ระนอง!L546"")"),0)</f>
        <v>0</v>
      </c>
      <c r="M651" s="534"/>
      <c r="N651" s="549">
        <f ca="1">IFERROR(__xludf.DUMMYFUNCTION("IMPORTRANGE(""https://docs.google.com/spreadsheets/d/1IYY_tgx_IHuhSq3AJ5eI5OnqOPBNLWSHKh2a30DoXe8/edit?usp=sharing"",""ระนอง!M546"")"),0)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IFERROR(__xludf.DUMMYFUNCTION("IMPORTRANGE(""https://docs.google.com/spreadsheets/d/1IYY_tgx_IHuhSq3AJ5eI5OnqOPBNLWSHKh2a30DoXe8/edit?usp=sharing"",""ระนอง!J547"")"),0)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IFERROR(__xludf.DUMMYFUNCTION("IMPORTRANGE(""https://docs.google.com/spreadsheets/d/1IYY_tgx_IHuhSq3AJ5eI5OnqOPBNLWSHKh2a30DoXe8/edit?usp=sharing"",""ระนอง!J548"")"),0)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IFERROR(__xludf.DUMMYFUNCTION("IMPORTRANGE(""https://docs.google.com/spreadsheets/d/1IYY_tgx_IHuhSq3AJ5eI5OnqOPBNLWSHKh2a30DoXe8/edit?usp=sharing"",""ระนอง!J550"")"),0)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IFERROR(__xludf.DUMMYFUNCTION("IMPORTRANGE(""https://docs.google.com/spreadsheets/d/1IYY_tgx_IHuhSq3AJ5eI5OnqOPBNLWSHKh2a30DoXe8/edit?usp=sharing"",""ระนอง!J551"")"),0)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IFERROR(__xludf.DUMMYFUNCTION("IMPORTRANGE(""https://docs.google.com/spreadsheets/d/1IYY_tgx_IHuhSq3AJ5eI5OnqOPBNLWSHKh2a30DoXe8/edit?usp=sharing"",""ระนอง!J552"")"),0)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IFERROR(__xludf.DUMMYFUNCTION("IMPORTRANGE(""https://docs.google.com/spreadsheets/d/1IYY_tgx_IHuhSq3AJ5eI5OnqOPBNLWSHKh2a30DoXe8/edit?usp=sharing"",""ระนอง!J553"")"),0)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IFERROR(__xludf.DUMMYFUNCTION("IMPORTRANGE(""https://docs.google.com/spreadsheets/d/1IYY_tgx_IHuhSq3AJ5eI5OnqOPBNLWSHKh2a30DoXe8/edit?usp=sharing"",""ระนอง!J554"")"),0)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IFERROR(__xludf.DUMMYFUNCTION("IMPORTRANGE(""https://docs.google.com/spreadsheets/d/1IYY_tgx_IHuhSq3AJ5eI5OnqOPBNLWSHKh2a30DoXe8/edit?usp=sharing"",""ระนอง!J555"")"),0)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IFERROR(__xludf.DUMMYFUNCTION("IMPORTRANGE(""https://docs.google.com/spreadsheets/d/1IYY_tgx_IHuhSq3AJ5eI5OnqOPBNLWSHKh2a30DoXe8/edit?usp=sharing"",""ระนอง!J556"")"),0)</f>
        <v>0</v>
      </c>
      <c r="K661" s="548"/>
      <c r="L661" s="535">
        <f ca="1">IFERROR(__xludf.DUMMYFUNCTION("IMPORTRANGE(""https://docs.google.com/spreadsheets/d/1IYY_tgx_IHuhSq3AJ5eI5OnqOPBNLWSHKh2a30DoXe8/edit?usp=sharing"",""ระนอง!L556"")"),0)</f>
        <v>0</v>
      </c>
      <c r="M661" s="534"/>
      <c r="N661" s="549">
        <f ca="1">IFERROR(__xludf.DUMMYFUNCTION("IMPORTRANGE(""https://docs.google.com/spreadsheets/d/1IYY_tgx_IHuhSq3AJ5eI5OnqOPBNLWSHKh2a30DoXe8/edit?usp=sharing"",""ระนอง!M556"")"),0)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IFERROR(__xludf.DUMMYFUNCTION("IMPORTRANGE(""https://docs.google.com/spreadsheets/d/1IYY_tgx_IHuhSq3AJ5eI5OnqOPBNLWSHKh2a30DoXe8/edit?usp=sharing"",""ระนอง!J557"")"),0)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IFERROR(__xludf.DUMMYFUNCTION("IMPORTRANGE(""https://docs.google.com/spreadsheets/d/1IYY_tgx_IHuhSq3AJ5eI5OnqOPBNLWSHKh2a30DoXe8/edit?usp=sharing"",""ระนอง!I558"")"),0)</f>
        <v>0</v>
      </c>
      <c r="J663" s="547">
        <f ca="1">IFERROR(__xludf.DUMMYFUNCTION("IMPORTRANGE(""https://docs.google.com/spreadsheets/d/1IYY_tgx_IHuhSq3AJ5eI5OnqOPBNLWSHKh2a30DoXe8/edit?usp=sharing"",""ระนอง!J558"")"),0)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IFERROR(__xludf.DUMMYFUNCTION("IMPORTRANGE(""https://docs.google.com/spreadsheets/d/1IYY_tgx_IHuhSq3AJ5eI5OnqOPBNLWSHKh2a30DoXe8/edit?usp=sharing"",""ระนอง!I560"")"),0)</f>
        <v>0</v>
      </c>
      <c r="J665" s="547">
        <f ca="1">IFERROR(__xludf.DUMMYFUNCTION("IMPORTRANGE(""https://docs.google.com/spreadsheets/d/1IYY_tgx_IHuhSq3AJ5eI5OnqOPBNLWSHKh2a30DoXe8/edit?usp=sharing"",""ระนอง!J560"")"),0)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IFERROR(__xludf.DUMMYFUNCTION("IMPORTRANGE(""https://docs.google.com/spreadsheets/d/1IYY_tgx_IHuhSq3AJ5eI5OnqOPBNLWSHKh2a30DoXe8/edit?usp=sharing"",""ระนอง!L560"")"),0)</f>
        <v>0</v>
      </c>
      <c r="M665" s="534"/>
      <c r="N665" s="549">
        <f ca="1">IFERROR(__xludf.DUMMYFUNCTION("IMPORTRANGE(""https://docs.google.com/spreadsheets/d/1IYY_tgx_IHuhSq3AJ5eI5OnqOPBNLWSHKh2a30DoXe8/edit?usp=sharing"",""ระนอง!M560"")"),0)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IFERROR(__xludf.DUMMYFUNCTION("IMPORTRANGE(""https://docs.google.com/spreadsheets/d/1IYY_tgx_IHuhSq3AJ5eI5OnqOPBNLWSHKh2a30DoXe8/edit?usp=sharing"",""ระนอง!J561"")"),0)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IFERROR(__xludf.DUMMYFUNCTION("IMPORTRANGE(""https://docs.google.com/spreadsheets/d/1IYY_tgx_IHuhSq3AJ5eI5OnqOPBNLWSHKh2a30DoXe8/edit?usp=sharing"",""ระนอง!J562"")"),0)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IFERROR(__xludf.DUMMYFUNCTION("IMPORTRANGE(""https://docs.google.com/spreadsheets/d/1IYY_tgx_IHuhSq3AJ5eI5OnqOPBNLWSHKh2a30DoXe8/edit?usp=sharing"",""ระนอง!I563"")"),0)</f>
        <v>0</v>
      </c>
      <c r="J668" s="547">
        <f ca="1">IFERROR(__xludf.DUMMYFUNCTION("IMPORTRANGE(""https://docs.google.com/spreadsheets/d/1IYY_tgx_IHuhSq3AJ5eI5OnqOPBNLWSHKh2a30DoXe8/edit?usp=sharing"",""ระนอง!J563"")"),0)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IFERROR(__xludf.DUMMYFUNCTION("IMPORTRANGE(""https://docs.google.com/spreadsheets/d/1IYY_tgx_IHuhSq3AJ5eI5OnqOPBNLWSHKh2a30DoXe8/edit?usp=sharing"",""ระนอง!L563"")"),0)</f>
        <v>0</v>
      </c>
      <c r="M668" s="534"/>
      <c r="N668" s="549">
        <f ca="1">IFERROR(__xludf.DUMMYFUNCTION("IMPORTRANGE(""https://docs.google.com/spreadsheets/d/1IYY_tgx_IHuhSq3AJ5eI5OnqOPBNLWSHKh2a30DoXe8/edit?usp=sharing"",""ระนอง!M563"")"),0)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IFERROR(__xludf.DUMMYFUNCTION("IMPORTRANGE(""https://docs.google.com/spreadsheets/d/1IYY_tgx_IHuhSq3AJ5eI5OnqOPBNLWSHKh2a30DoXe8/edit?usp=sharing"",""ระนอง!J564"")"),0)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IFERROR(__xludf.DUMMYFUNCTION("IMPORTRANGE(""https://docs.google.com/spreadsheets/d/1IYY_tgx_IHuhSq3AJ5eI5OnqOPBNLWSHKh2a30DoXe8/edit?usp=sharing"",""ระนอง!J565"")"),0)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IFERROR(__xludf.DUMMYFUNCTION("IMPORTRANGE(""https://docs.google.com/spreadsheets/d/1IYY_tgx_IHuhSq3AJ5eI5OnqOPBNLWSHKh2a30DoXe8/edit?usp=sharing"",""ระนอง!I566"")"),0)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IFERROR(__xludf.DUMMYFUNCTION("IMPORTRANGE(""https://docs.google.com/spreadsheets/d/1IYY_tgx_IHuhSq3AJ5eI5OnqOPBNLWSHKh2a30DoXe8/edit?usp=sharing"",""ระนอง!L566"")"),0)</f>
        <v>0</v>
      </c>
      <c r="M671" s="534"/>
      <c r="N671" s="549">
        <f ca="1">IFERROR(__xludf.DUMMYFUNCTION("IMPORTRANGE(""https://docs.google.com/spreadsheets/d/1IYY_tgx_IHuhSq3AJ5eI5OnqOPBNLWSHKh2a30DoXe8/edit?usp=sharing"",""ระนอง!M566"")"),0)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IFERROR(__xludf.DUMMYFUNCTION("IMPORTRANGE(""https://docs.google.com/spreadsheets/d/1IYY_tgx_IHuhSq3AJ5eI5OnqOPBNLWSHKh2a30DoXe8/edit?usp=sharing"",""ระนอง!J567"")"),0)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IFERROR(__xludf.DUMMYFUNCTION("IMPORTRANGE(""https://docs.google.com/spreadsheets/d/1IYY_tgx_IHuhSq3AJ5eI5OnqOPBNLWSHKh2a30DoXe8/edit?usp=sharing"",""ระนอง!J568"")"),0)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IFERROR(__xludf.DUMMYFUNCTION("IMPORTRANGE(""https://docs.google.com/spreadsheets/d/1IYY_tgx_IHuhSq3AJ5eI5OnqOPBNLWSHKh2a30DoXe8/edit?usp=sharing"",""ระนอง!J569"")"),0)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IFERROR(__xludf.DUMMYFUNCTION("IMPORTRANGE(""https://docs.google.com/spreadsheets/d/1IYY_tgx_IHuhSq3AJ5eI5OnqOPBNLWSHKh2a30DoXe8/edit?usp=sharing"",""ระนอง!J570"")"),0)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IFERROR(__xludf.DUMMYFUNCTION("IMPORTRANGE(""https://docs.google.com/spreadsheets/d/1IYY_tgx_IHuhSq3AJ5eI5OnqOPBNLWSHKh2a30DoXe8/edit?usp=sharing"",""ระนอง!J571"")"),0)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IFERROR(__xludf.DUMMYFUNCTION("IMPORTRANGE(""https://docs.google.com/spreadsheets/d/1IYY_tgx_IHuhSq3AJ5eI5OnqOPBNLWSHKh2a30DoXe8/edit?usp=sharing"",""ระนอง!J572"")"),0)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284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5787709</v>
      </c>
      <c r="M8" s="23">
        <f t="shared" ca="1" si="0"/>
        <v>4214282</v>
      </c>
      <c r="N8" s="23">
        <f t="shared" ca="1" si="0"/>
        <v>3707856.5200000005</v>
      </c>
      <c r="O8" s="22">
        <f t="shared" ref="O8:O16" ca="1" si="1">IF(L8&gt;0,N8*100/L8,0)</f>
        <v>64.064321824058538</v>
      </c>
      <c r="P8" s="22">
        <f t="shared" ref="P8:P16" ca="1" si="2">IF(M8&gt;0,N8*100/M8,0)</f>
        <v>87.983113612235741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5787709</v>
      </c>
      <c r="M10" s="30">
        <f t="shared" ca="1" si="4"/>
        <v>4214282</v>
      </c>
      <c r="N10" s="30">
        <f t="shared" ca="1" si="4"/>
        <v>3707856.5200000005</v>
      </c>
      <c r="O10" s="29">
        <f t="shared" ca="1" si="1"/>
        <v>64.064321824058538</v>
      </c>
      <c r="P10" s="29">
        <f t="shared" ca="1" si="2"/>
        <v>87.983113612235741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4720709</v>
      </c>
      <c r="M12" s="38">
        <f t="shared" ca="1" si="6"/>
        <v>3147282</v>
      </c>
      <c r="N12" s="38">
        <f t="shared" ca="1" si="6"/>
        <v>3690856.5200000005</v>
      </c>
      <c r="O12" s="38">
        <f t="shared" ca="1" si="1"/>
        <v>78.184368492105747</v>
      </c>
      <c r="P12" s="38">
        <f t="shared" ca="1" si="2"/>
        <v>117.27123657810138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2079100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2641609</v>
      </c>
      <c r="M14" s="38">
        <f t="shared" si="8"/>
        <v>0</v>
      </c>
      <c r="N14" s="38">
        <f t="shared" ca="1" si="8"/>
        <v>1101593.2</v>
      </c>
      <c r="O14" s="41">
        <f t="shared" ca="1" si="1"/>
        <v>41.701599290432462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1067000</v>
      </c>
      <c r="M16" s="38">
        <f t="shared" ca="1" si="10"/>
        <v>1067000</v>
      </c>
      <c r="N16" s="38">
        <f t="shared" ca="1" si="10"/>
        <v>17000</v>
      </c>
      <c r="O16" s="50">
        <f t="shared" ca="1" si="1"/>
        <v>1.5932521087160263</v>
      </c>
      <c r="P16" s="50">
        <f t="shared" ca="1" si="2"/>
        <v>1.5932521087160263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4145245</v>
      </c>
      <c r="M18" s="23">
        <f t="shared" ca="1" si="11"/>
        <v>4214282</v>
      </c>
      <c r="N18" s="23">
        <f t="shared" ca="1" si="11"/>
        <v>2606263.3200000003</v>
      </c>
      <c r="O18" s="22">
        <f t="shared" ref="O18:O20" ca="1" si="12">IF(L18&gt;0,N18*100/L18,0)</f>
        <v>62.873565253682237</v>
      </c>
      <c r="P18" s="22">
        <f t="shared" ref="P18:P26" ca="1" si="13">IF(M18&gt;0,N18*100/M18,0)</f>
        <v>61.843590912995388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4145245</v>
      </c>
      <c r="M20" s="30">
        <f t="shared" ca="1" si="15"/>
        <v>4214282</v>
      </c>
      <c r="N20" s="30">
        <f t="shared" ca="1" si="15"/>
        <v>2606263.3200000003</v>
      </c>
      <c r="O20" s="29">
        <f t="shared" ca="1" si="12"/>
        <v>62.873565253682237</v>
      </c>
      <c r="P20" s="29">
        <f t="shared" ca="1" si="13"/>
        <v>61.843590912995388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3078245</v>
      </c>
      <c r="M22" s="42">
        <f t="shared" ca="1" si="18"/>
        <v>3147282</v>
      </c>
      <c r="N22" s="41">
        <f t="shared" ca="1" si="18"/>
        <v>2589263.3200000003</v>
      </c>
      <c r="O22" s="41">
        <f t="shared" ca="1" si="17"/>
        <v>84.114920027483208</v>
      </c>
      <c r="P22" s="41">
        <f t="shared" ca="1" si="13"/>
        <v>82.269822659679065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2079100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999145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1067000</v>
      </c>
      <c r="M26" s="50">
        <f t="shared" ca="1" si="22"/>
        <v>1067000</v>
      </c>
      <c r="N26" s="50">
        <f t="shared" ca="1" si="22"/>
        <v>17000</v>
      </c>
      <c r="O26" s="50">
        <f t="shared" ca="1" si="17"/>
        <v>1.5932521087160263</v>
      </c>
      <c r="P26" s="50">
        <f t="shared" ca="1" si="13"/>
        <v>1.5932521087160263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1642464</v>
      </c>
      <c r="M28" s="23">
        <f t="shared" si="23"/>
        <v>0</v>
      </c>
      <c r="N28" s="23">
        <f t="shared" ca="1" si="23"/>
        <v>1101593.2</v>
      </c>
      <c r="O28" s="22">
        <f t="shared" ref="O28:O30" ca="1" si="24">IF(L28&gt;0,N28*100/L28,0)</f>
        <v>67.069549165156744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1642464</v>
      </c>
      <c r="M30" s="30">
        <f t="shared" si="27"/>
        <v>0</v>
      </c>
      <c r="N30" s="30">
        <f t="shared" ca="1" si="27"/>
        <v>1101593.2</v>
      </c>
      <c r="O30" s="29">
        <f t="shared" ca="1" si="24"/>
        <v>67.069549165156744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1642464</v>
      </c>
      <c r="M32" s="41">
        <f t="shared" si="30"/>
        <v>0</v>
      </c>
      <c r="N32" s="41">
        <f t="shared" ca="1" si="30"/>
        <v>1101593.2</v>
      </c>
      <c r="O32" s="41">
        <f t="shared" ca="1" si="29"/>
        <v>67.069549165156744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1642464</v>
      </c>
      <c r="M34" s="41">
        <f t="shared" si="32"/>
        <v>0</v>
      </c>
      <c r="N34" s="41">
        <f t="shared" ca="1" si="32"/>
        <v>1101593.2</v>
      </c>
      <c r="O34" s="41">
        <f t="shared" ca="1" si="29"/>
        <v>67.069549165156744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4145245</v>
      </c>
      <c r="M37" s="55">
        <f t="shared" ca="1" si="33"/>
        <v>4214282</v>
      </c>
      <c r="N37" s="55">
        <f t="shared" ca="1" si="33"/>
        <v>2606263.3200000003</v>
      </c>
      <c r="O37" s="56">
        <f t="shared" ca="1" si="29"/>
        <v>62.873565253682237</v>
      </c>
      <c r="P37" s="56">
        <f t="shared" ca="1" si="25"/>
        <v>61.843590912995388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674100</v>
      </c>
      <c r="M41" s="79">
        <f t="shared" ca="1" si="34"/>
        <v>674100</v>
      </c>
      <c r="N41" s="79">
        <f t="shared" ca="1" si="34"/>
        <v>596665.76</v>
      </c>
      <c r="O41" s="78">
        <f t="shared" ref="O41:O43" ca="1" si="35">IF(L41&gt;0,N41*100/L41,0)</f>
        <v>88.512944666963364</v>
      </c>
      <c r="P41" s="78">
        <f t="shared" ref="P41:P43" ca="1" si="36">IF(M41&gt;0,N41*100/M41,0)</f>
        <v>88.512944666963364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674100</v>
      </c>
      <c r="M43" s="79">
        <f t="shared" ca="1" si="38"/>
        <v>674100</v>
      </c>
      <c r="N43" s="79">
        <f t="shared" ca="1" si="38"/>
        <v>596665.76</v>
      </c>
      <c r="O43" s="78">
        <f t="shared" ca="1" si="35"/>
        <v>88.512944666963364</v>
      </c>
      <c r="P43" s="78">
        <f t="shared" ca="1" si="36"/>
        <v>88.512944666963364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674100</v>
      </c>
      <c r="M45" s="91">
        <f ca="1">IFERROR(__xludf.DUMMYFUNCTION("IMPORTRANGE(""https://docs.google.com/spreadsheets/d/1Yj_ptqi66GCucihVvJfMjLAmec39IyEx_6qawtMGysU/edit?usp=sharing"",""สบก!Q92"")"),674100)</f>
        <v>674100</v>
      </c>
      <c r="N45" s="91">
        <f ca="1">IFERROR(__xludf.DUMMYFUNCTION("IMPORTRANGE(""https://docs.google.com/spreadsheets/d/1Yj_ptqi66GCucihVvJfMjLAmec39IyEx_6qawtMGysU/edit?usp=sharing"",""สบก!R92"")"),596665.76)</f>
        <v>596665.76</v>
      </c>
      <c r="O45" s="92">
        <f ca="1">IF(L45&gt;0,N45*100/L45,0)</f>
        <v>88.512944666963364</v>
      </c>
      <c r="P45" s="92">
        <f ca="1">IF(M45&gt;0,N45*100/M45,0)</f>
        <v>88.512944666963364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IFERROR(__xludf.DUMMYFUNCTION("IMPORTRANGE(""https://docs.google.com/spreadsheets/d/1Yj_ptqi66GCucihVvJfMjLAmec39IyEx_6qawtMGysU/edit?usp=sharing"",""สบก!M92"")"),674100)</f>
        <v>674100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513815</v>
      </c>
      <c r="N53" s="125">
        <f t="shared" ca="1" si="39"/>
        <v>509533</v>
      </c>
      <c r="O53" s="124">
        <f t="shared" ref="O53:O55" ca="1" si="40">IF(L53&gt;0,N53*100/L53,0)</f>
        <v>101.9066</v>
      </c>
      <c r="P53" s="124">
        <f t="shared" ref="P53:P55" ca="1" si="41">IF(M53&gt;0,N53*100/M53,0)</f>
        <v>99.166626120296215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513815</v>
      </c>
      <c r="N55" s="125">
        <f t="shared" ca="1" si="43"/>
        <v>509533</v>
      </c>
      <c r="O55" s="124">
        <f t="shared" ca="1" si="40"/>
        <v>101.9066</v>
      </c>
      <c r="P55" s="124">
        <f t="shared" ca="1" si="41"/>
        <v>99.166626120296215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IFERROR(__xludf.DUMMYFUNCTION("IMPORTRANGE(""https://docs.google.com/spreadsheets/d/1Yj_ptqi66GCucihVvJfMjLAmec39IyEx_6qawtMGysU/edit?usp=sharing"",""สบก!Z92"")"),513815)</f>
        <v>513815</v>
      </c>
      <c r="N57" s="91">
        <f ca="1">IFERROR(__xludf.DUMMYFUNCTION("IMPORTRANGE(""https://docs.google.com/spreadsheets/d/1Yj_ptqi66GCucihVvJfMjLAmec39IyEx_6qawtMGysU/edit?usp=sharing"",""สบก!AA92"")"),509533)</f>
        <v>509533</v>
      </c>
      <c r="O57" s="92">
        <f ca="1">IF(L57&gt;0,N57*100/L57,0)</f>
        <v>101.9066</v>
      </c>
      <c r="P57" s="92">
        <f ca="1">IF(M57&gt;0,N57*100/M57,0)</f>
        <v>99.166626120296215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IFERROR(__xludf.DUMMYFUNCTION("IMPORTRANGE(""https://docs.google.com/spreadsheets/d/1Yj_ptqi66GCucihVvJfMjLAmec39IyEx_6qawtMGysU/edit?usp=sharing"",""สบก!V92"")"),500000)</f>
        <v>500000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IFERROR(__xludf.DUMMYFUNCTION("IMPORTRANGE(""https://docs.google.com/spreadsheets/d/1Yj_ptqi66GCucihVvJfMjLAmec39IyEx_6qawtMGysU/edit?usp=sharing"",""สบก!AI92"")"),0)</f>
        <v>0</v>
      </c>
      <c r="N70" s="174">
        <f ca="1">IFERROR(__xludf.DUMMYFUNCTION("IMPORTRANGE(""https://docs.google.com/spreadsheets/d/1Yj_ptqi66GCucihVvJfMjLAmec39IyEx_6qawtMGysU/edit?usp=sharing"",""สบก!AJ92"")"),0)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IFERROR(__xludf.DUMMYFUNCTION("IMPORTRANGE(""https://docs.google.com/spreadsheets/d/1Yj_ptqi66GCucihVvJfMjLAmec39IyEx_6qawtMGysU/edit?usp=sharing"",""สบก!AE92"")"),0)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IFERROR(__xludf.DUMMYFUNCTION("IMPORTRANGE(""https://docs.google.com/spreadsheets/d/1Yj_ptqi66GCucihVvJfMjLAmec39IyEx_6qawtMGysU/edit?usp=sharing"",""สบก!AF92"")"),0)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IFERROR(__xludf.DUMMYFUNCTION("IMPORTRANGE(""https://docs.google.com/spreadsheets/d/1IYY_tgx_IHuhSq3AJ5eI5OnqOPBNLWSHKh2a30DoXe8/edit?usp=sharing"",""สงขลา!J16"")"),0)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IFERROR(__xludf.DUMMYFUNCTION("IMPORTRANGE(""https://docs.google.com/spreadsheets/d/1IYY_tgx_IHuhSq3AJ5eI5OnqOPBNLWSHKh2a30DoXe8/edit?usp=sharing"",""สงขลา!J17"")"),0)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IFERROR(__xludf.DUMMYFUNCTION("IMPORTRANGE(""https://docs.google.com/spreadsheets/d/1IYY_tgx_IHuhSq3AJ5eI5OnqOPBNLWSHKh2a30DoXe8/edit?usp=sharing"",""สงขลา!J18"")"),0)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IFERROR(__xludf.DUMMYFUNCTION("IMPORTRANGE(""https://docs.google.com/spreadsheets/d/1IYY_tgx_IHuhSq3AJ5eI5OnqOPBNLWSHKh2a30DoXe8/edit?usp=sharing"",""สงขลา!J19"")"),0)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IFERROR(__xludf.DUMMYFUNCTION("IMPORTRANGE(""https://docs.google.com/spreadsheets/d/1IYY_tgx_IHuhSq3AJ5eI5OnqOPBNLWSHKh2a30DoXe8/edit?usp=sharing"",""สงขลา!I20"")"),0)</f>
        <v>0</v>
      </c>
      <c r="J80" s="207">
        <f ca="1">IFERROR(__xludf.DUMMYFUNCTION("IMPORTRANGE(""https://docs.google.com/spreadsheets/d/1IYY_tgx_IHuhSq3AJ5eI5OnqOPBNLWSHKh2a30DoXe8/edit?usp=sharing"",""สงขลา!J20"")"),0)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IFERROR(__xludf.DUMMYFUNCTION("IMPORTRANGE(""https://docs.google.com/spreadsheets/d/1IYY_tgx_IHuhSq3AJ5eI5OnqOPBNLWSHKh2a30DoXe8/edit?usp=sharing"",""สงขลา!I21"")"),0)</f>
        <v>0</v>
      </c>
      <c r="J81" s="207">
        <f ca="1">IFERROR(__xludf.DUMMYFUNCTION("IMPORTRANGE(""https://docs.google.com/spreadsheets/d/1IYY_tgx_IHuhSq3AJ5eI5OnqOPBNLWSHKh2a30DoXe8/edit?usp=sharing"",""สงขลา!J21"")"),0)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IFERROR(__xludf.DUMMYFUNCTION("IMPORTRANGE(""https://docs.google.com/spreadsheets/d/1IYY_tgx_IHuhSq3AJ5eI5OnqOPBNLWSHKh2a30DoXe8/edit?usp=sharing"",""สงขลา!I22"")"),0)</f>
        <v>0</v>
      </c>
      <c r="J82" s="210">
        <f ca="1">IFERROR(__xludf.DUMMYFUNCTION("IMPORTRANGE(""https://docs.google.com/spreadsheets/d/1IYY_tgx_IHuhSq3AJ5eI5OnqOPBNLWSHKh2a30DoXe8/edit?usp=sharing"",""สงขลา!J22"")"),0)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IFERROR(__xludf.DUMMYFUNCTION("IMPORTRANGE(""https://docs.google.com/spreadsheets/d/1IYY_tgx_IHuhSq3AJ5eI5OnqOPBNLWSHKh2a30DoXe8/edit?usp=sharing"",""สงขลา!I23"")"),0)</f>
        <v>0</v>
      </c>
      <c r="J83" s="210">
        <f ca="1">IFERROR(__xludf.DUMMYFUNCTION("IMPORTRANGE(""https://docs.google.com/spreadsheets/d/1IYY_tgx_IHuhSq3AJ5eI5OnqOPBNLWSHKh2a30DoXe8/edit?usp=sharing"",""สงขลา!J23"")"),0)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IFERROR(__xludf.DUMMYFUNCTION("IMPORTRANGE(""https://docs.google.com/spreadsheets/d/1IYY_tgx_IHuhSq3AJ5eI5OnqOPBNLWSHKh2a30DoXe8/edit?usp=sharing"",""สงขลา!I24"")"),0)</f>
        <v>0</v>
      </c>
      <c r="J84" s="195">
        <f ca="1">IFERROR(__xludf.DUMMYFUNCTION("IMPORTRANGE(""https://docs.google.com/spreadsheets/d/1IYY_tgx_IHuhSq3AJ5eI5OnqOPBNLWSHKh2a30DoXe8/edit?usp=sharing"",""สงขลา!J24"")"),0)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IFERROR(__xludf.DUMMYFUNCTION("IMPORTRANGE(""https://docs.google.com/spreadsheets/d/1IYY_tgx_IHuhSq3AJ5eI5OnqOPBNLWSHKh2a30DoXe8/edit?usp=sharing"",""สงขลา!I25"")"),0)</f>
        <v>0</v>
      </c>
      <c r="J85" s="195">
        <f ca="1">IFERROR(__xludf.DUMMYFUNCTION("IMPORTRANGE(""https://docs.google.com/spreadsheets/d/1IYY_tgx_IHuhSq3AJ5eI5OnqOPBNLWSHKh2a30DoXe8/edit?usp=sharing"",""สงขลา!J25"")"),0)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IFERROR(__xludf.DUMMYFUNCTION("IMPORTRANGE(""https://docs.google.com/spreadsheets/d/1IYY_tgx_IHuhSq3AJ5eI5OnqOPBNLWSHKh2a30DoXe8/edit?usp=sharing"",""สงขลา!I26"")"),0)</f>
        <v>0</v>
      </c>
      <c r="J86" s="210">
        <f ca="1">IFERROR(__xludf.DUMMYFUNCTION("IMPORTRANGE(""https://docs.google.com/spreadsheets/d/1IYY_tgx_IHuhSq3AJ5eI5OnqOPBNLWSHKh2a30DoXe8/edit?usp=sharing"",""สงขลา!J26"")"),0)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IFERROR(__xludf.DUMMYFUNCTION("IMPORTRANGE(""https://docs.google.com/spreadsheets/d/1IYY_tgx_IHuhSq3AJ5eI5OnqOPBNLWSHKh2a30DoXe8/edit?usp=sharing"",""สงขลา!I27"")"),0)</f>
        <v>0</v>
      </c>
      <c r="J87" s="210">
        <f ca="1">IFERROR(__xludf.DUMMYFUNCTION("IMPORTRANGE(""https://docs.google.com/spreadsheets/d/1IYY_tgx_IHuhSq3AJ5eI5OnqOPBNLWSHKh2a30DoXe8/edit?usp=sharing"",""สงขลา!J27"")"),0)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IFERROR(__xludf.DUMMYFUNCTION("IMPORTRANGE(""https://docs.google.com/spreadsheets/d/1IYY_tgx_IHuhSq3AJ5eI5OnqOPBNLWSHKh2a30DoXe8/edit?usp=sharing"",""สงขลา!I28"")"),0)</f>
        <v>0</v>
      </c>
      <c r="J88" s="210">
        <f ca="1">IFERROR(__xludf.DUMMYFUNCTION("IMPORTRANGE(""https://docs.google.com/spreadsheets/d/1IYY_tgx_IHuhSq3AJ5eI5OnqOPBNLWSHKh2a30DoXe8/edit?usp=sharing"",""สงขลา!J28"")"),0)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IFERROR(__xludf.DUMMYFUNCTION("IMPORTRANGE(""https://docs.google.com/spreadsheets/d/1IYY_tgx_IHuhSq3AJ5eI5OnqOPBNLWSHKh2a30DoXe8/edit?usp=sharing"",""สงขลา!J29"")"),0)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IFERROR(__xludf.DUMMYFUNCTION("IMPORTRANGE(""https://docs.google.com/spreadsheets/d/1IYY_tgx_IHuhSq3AJ5eI5OnqOPBNLWSHKh2a30DoXe8/edit?usp=sharing"",""สงขลา!J30"")"),0)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IFERROR(__xludf.DUMMYFUNCTION("IMPORTRANGE(""https://docs.google.com/spreadsheets/d/1Yj_ptqi66GCucihVvJfMjLAmec39IyEx_6qawtMGysU/edit?usp=sharing"",""สบก!AR92"")"),0)</f>
        <v>0</v>
      </c>
      <c r="N98" s="174">
        <f ca="1">IFERROR(__xludf.DUMMYFUNCTION("IMPORTRANGE(""https://docs.google.com/spreadsheets/d/1Yj_ptqi66GCucihVvJfMjLAmec39IyEx_6qawtMGysU/edit?usp=sharing"",""สบก!AS92"")"),0)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IFERROR(__xludf.DUMMYFUNCTION("IMPORTRANGE(""https://docs.google.com/spreadsheets/d/1Yj_ptqi66GCucihVvJfMjLAmec39IyEx_6qawtMGysU/edit?usp=sharing"",""สบก!AO92"")"),0)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IFERROR(__xludf.DUMMYFUNCTION("IMPORTRANGE(""https://docs.google.com/spreadsheets/d/1IYY_tgx_IHuhSq3AJ5eI5OnqOPBNLWSHKh2a30DoXe8/edit?usp=sharing"",""สงขลา!J39"")"),0)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IFERROR(__xludf.DUMMYFUNCTION("IMPORTRANGE(""https://docs.google.com/spreadsheets/d/1IYY_tgx_IHuhSq3AJ5eI5OnqOPBNLWSHKh2a30DoXe8/edit?usp=sharing"",""สงขลา!J40"")"),0)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IFERROR(__xludf.DUMMYFUNCTION("IMPORTRANGE(""https://docs.google.com/spreadsheets/d/1IYY_tgx_IHuhSq3AJ5eI5OnqOPBNLWSHKh2a30DoXe8/edit?usp=sharing"",""สงขลา!J41"")"),0)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IFERROR(__xludf.DUMMYFUNCTION("IMPORTRANGE(""https://docs.google.com/spreadsheets/d/1IYY_tgx_IHuhSq3AJ5eI5OnqOPBNLWSHKh2a30DoXe8/edit?usp=sharing"",""สงขลา!J42"")"),0)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IFERROR(__xludf.DUMMYFUNCTION("IMPORTRANGE(""https://docs.google.com/spreadsheets/d/1IYY_tgx_IHuhSq3AJ5eI5OnqOPBNLWSHKh2a30DoXe8/edit?usp=sharing"",""สงขลา!I43"")"),0)</f>
        <v>0</v>
      </c>
      <c r="J108" s="210">
        <f ca="1">IFERROR(__xludf.DUMMYFUNCTION("IMPORTRANGE(""https://docs.google.com/spreadsheets/d/1IYY_tgx_IHuhSq3AJ5eI5OnqOPBNLWSHKh2a30DoXe8/edit?usp=sharing"",""สงขลา!J43"")"),0)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IFERROR(__xludf.DUMMYFUNCTION("IMPORTRANGE(""https://docs.google.com/spreadsheets/d/1IYY_tgx_IHuhSq3AJ5eI5OnqOPBNLWSHKh2a30DoXe8/edit?usp=sharing"",""สงขลา!I44"")"),0)</f>
        <v>0</v>
      </c>
      <c r="J109" s="210">
        <f ca="1">IFERROR(__xludf.DUMMYFUNCTION("IMPORTRANGE(""https://docs.google.com/spreadsheets/d/1IYY_tgx_IHuhSq3AJ5eI5OnqOPBNLWSHKh2a30DoXe8/edit?usp=sharing"",""สงขลา!J44"")"),0)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IFERROR(__xludf.DUMMYFUNCTION("IMPORTRANGE(""https://docs.google.com/spreadsheets/d/1IYY_tgx_IHuhSq3AJ5eI5OnqOPBNLWSHKh2a30DoXe8/edit?usp=sharing"",""สงขลา!I45"")"),0)</f>
        <v>0</v>
      </c>
      <c r="J110" s="210">
        <f ca="1">IFERROR(__xludf.DUMMYFUNCTION("IMPORTRANGE(""https://docs.google.com/spreadsheets/d/1IYY_tgx_IHuhSq3AJ5eI5OnqOPBNLWSHKh2a30DoXe8/edit?usp=sharing"",""สงขลา!J45"")"),0)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IFERROR(__xludf.DUMMYFUNCTION("IMPORTRANGE(""https://docs.google.com/spreadsheets/d/1IYY_tgx_IHuhSq3AJ5eI5OnqOPBNLWSHKh2a30DoXe8/edit?usp=sharing"",""สงขลา!I46"")"),0)</f>
        <v>0</v>
      </c>
      <c r="J111" s="210">
        <f ca="1">IFERROR(__xludf.DUMMYFUNCTION("IMPORTRANGE(""https://docs.google.com/spreadsheets/d/1IYY_tgx_IHuhSq3AJ5eI5OnqOPBNLWSHKh2a30DoXe8/edit?usp=sharing"",""สงขลา!J46"")"),0)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IFERROR(__xludf.DUMMYFUNCTION("IMPORTRANGE(""https://docs.google.com/spreadsheets/d/1IYY_tgx_IHuhSq3AJ5eI5OnqOPBNLWSHKh2a30DoXe8/edit?usp=sharing"",""สงขลา!I47"")"),0)</f>
        <v>0</v>
      </c>
      <c r="J112" s="210">
        <f ca="1">IFERROR(__xludf.DUMMYFUNCTION("IMPORTRANGE(""https://docs.google.com/spreadsheets/d/1IYY_tgx_IHuhSq3AJ5eI5OnqOPBNLWSHKh2a30DoXe8/edit?usp=sharing"",""สงขลา!J47"")"),0)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IFERROR(__xludf.DUMMYFUNCTION("IMPORTRANGE(""https://docs.google.com/spreadsheets/d/1IYY_tgx_IHuhSq3AJ5eI5OnqOPBNLWSHKh2a30DoXe8/edit?usp=sharing"",""สงขลา!I48"")"),0)</f>
        <v>0</v>
      </c>
      <c r="J113" s="210">
        <f ca="1">IFERROR(__xludf.DUMMYFUNCTION("IMPORTRANGE(""https://docs.google.com/spreadsheets/d/1IYY_tgx_IHuhSq3AJ5eI5OnqOPBNLWSHKh2a30DoXe8/edit?usp=sharing"",""สงขลา!J48"")"),0)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IFERROR(__xludf.DUMMYFUNCTION("IMPORTRANGE(""https://docs.google.com/spreadsheets/d/1IYY_tgx_IHuhSq3AJ5eI5OnqOPBNLWSHKh2a30DoXe8/edit?usp=sharing"",""สงขลา!J49"")"),0)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IFERROR(__xludf.DUMMYFUNCTION("IMPORTRANGE(""https://docs.google.com/spreadsheets/d/1IYY_tgx_IHuhSq3AJ5eI5OnqOPBNLWSHKh2a30DoXe8/edit?usp=sharing"",""สงขลา!J50"")"),0)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78312</v>
      </c>
      <c r="N118" s="156">
        <f t="shared" ca="1" si="58"/>
        <v>62680</v>
      </c>
      <c r="O118" s="155">
        <f t="shared" ref="O118:O120" ca="1" si="59">IF(L118&gt;0,N118*100/L118,0)</f>
        <v>96.594236400061646</v>
      </c>
      <c r="P118" s="155">
        <f t="shared" ref="P118:P120" ca="1" si="60">IF(M118&gt;0,N118*100/M118,0)</f>
        <v>80.038819082643784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78312</v>
      </c>
      <c r="N120" s="161">
        <f t="shared" ca="1" si="62"/>
        <v>62680</v>
      </c>
      <c r="O120" s="160">
        <f t="shared" ca="1" si="59"/>
        <v>96.594236400061646</v>
      </c>
      <c r="P120" s="160">
        <f t="shared" ca="1" si="60"/>
        <v>80.038819082643784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IFERROR(__xludf.DUMMYFUNCTION("IMPORTRANGE(""https://docs.google.com/spreadsheets/d/1Yj_ptqi66GCucihVvJfMjLAmec39IyEx_6qawtMGysU/edit?usp=sharing"",""สบก!BA92"")"),78312)</f>
        <v>78312</v>
      </c>
      <c r="N122" s="174">
        <f ca="1">IFERROR(__xludf.DUMMYFUNCTION("IMPORTRANGE(""https://docs.google.com/spreadsheets/d/1Yj_ptqi66GCucihVvJfMjLAmec39IyEx_6qawtMGysU/edit?usp=sharing"",""สบก!BB92"")"),62680)</f>
        <v>62680</v>
      </c>
      <c r="O122" s="175">
        <f ca="1">IF(L122&gt;0,N122*100/L122,0)</f>
        <v>96.594236400061646</v>
      </c>
      <c r="P122" s="175">
        <f ca="1">IF(M122&gt;0,N122*100/M122,0)</f>
        <v>80.038819082643784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IFERROR(__xludf.DUMMYFUNCTION("IMPORTRANGE(""https://docs.google.com/spreadsheets/d/1Yj_ptqi66GCucihVvJfMjLAmec39IyEx_6qawtMGysU/edit?usp=sharing"",""สบก!AX92"")"),64890)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IFERROR(__xludf.DUMMYFUNCTION("IMPORTRANGE(""https://docs.google.com/spreadsheets/d/1IYY_tgx_IHuhSq3AJ5eI5OnqOPBNLWSHKh2a30DoXe8/edit?usp=sharing"",""สงขลา!J58"")"),0)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IFERROR(__xludf.DUMMYFUNCTION("IMPORTRANGE(""https://docs.google.com/spreadsheets/d/1IYY_tgx_IHuhSq3AJ5eI5OnqOPBNLWSHKh2a30DoXe8/edit?usp=sharing"",""สงขลา!J59"")"),1)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IFERROR(__xludf.DUMMYFUNCTION("IMPORTRANGE(""https://docs.google.com/spreadsheets/d/1IYY_tgx_IHuhSq3AJ5eI5OnqOPBNLWSHKh2a30DoXe8/edit?usp=sharing"",""สงขลา!J60"")"),1)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IFERROR(__xludf.DUMMYFUNCTION("IMPORTRANGE(""https://docs.google.com/spreadsheets/d/1IYY_tgx_IHuhSq3AJ5eI5OnqOPBNLWSHKh2a30DoXe8/edit?usp=sharing"",""สงขลา!J61"")"),1)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IFERROR(__xludf.DUMMYFUNCTION("IMPORTRANGE(""https://docs.google.com/spreadsheets/d/1IYY_tgx_IHuhSq3AJ5eI5OnqOPBNLWSHKh2a30DoXe8/edit?usp=sharing"",""สงขลา!I62"")"),15)</f>
        <v>15</v>
      </c>
      <c r="J132" s="210">
        <f ca="1">IFERROR(__xludf.DUMMYFUNCTION("IMPORTRANGE(""https://docs.google.com/spreadsheets/d/1IYY_tgx_IHuhSq3AJ5eI5OnqOPBNLWSHKh2a30DoXe8/edit?usp=sharing"",""สงขลา!J62"")"),15)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IFERROR(__xludf.DUMMYFUNCTION("IMPORTRANGE(""https://docs.google.com/spreadsheets/d/1IYY_tgx_IHuhSq3AJ5eI5OnqOPBNLWSHKh2a30DoXe8/edit?usp=sharing"",""สงขลา!I63"")"),15)</f>
        <v>15</v>
      </c>
      <c r="J133" s="210">
        <f ca="1">IFERROR(__xludf.DUMMYFUNCTION("IMPORTRANGE(""https://docs.google.com/spreadsheets/d/1IYY_tgx_IHuhSq3AJ5eI5OnqOPBNLWSHKh2a30DoXe8/edit?usp=sharing"",""สงขลา!J63"")"),15)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IFERROR(__xludf.DUMMYFUNCTION("IMPORTRANGE(""https://docs.google.com/spreadsheets/d/1IYY_tgx_IHuhSq3AJ5eI5OnqOPBNLWSHKh2a30DoXe8/edit?usp=sharing"",""สงขลา!J64"")"),0)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IFERROR(__xludf.DUMMYFUNCTION("IMPORTRANGE(""https://docs.google.com/spreadsheets/d/1IYY_tgx_IHuhSq3AJ5eI5OnqOPBNLWSHKh2a30DoXe8/edit?usp=sharing"",""สงขลา!J65"")"),0)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IFERROR(__xludf.DUMMYFUNCTION("IMPORTRANGE(""https://docs.google.com/spreadsheets/d/1IYY_tgx_IHuhSq3AJ5eI5OnqOPBNLWSHKh2a30DoXe8/edit?usp=sharing"",""สงขลา!I68"")"),0)</f>
        <v>0</v>
      </c>
      <c r="J138" s="273">
        <f ca="1">IFERROR(__xludf.DUMMYFUNCTION("IMPORTRANGE(""https://docs.google.com/spreadsheets/d/1IYY_tgx_IHuhSq3AJ5eI5OnqOPBNLWSHKh2a30DoXe8/edit?usp=sharing"",""สงขลา!J68"")"),0)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204900</v>
      </c>
      <c r="M140" s="156">
        <f t="shared" ca="1" si="64"/>
        <v>204900</v>
      </c>
      <c r="N140" s="156">
        <f t="shared" ca="1" si="64"/>
        <v>182972</v>
      </c>
      <c r="O140" s="155">
        <f t="shared" ref="O140:O142" ca="1" si="65">IF(L140&gt;0,N140*100/L140,0)</f>
        <v>89.298194241093213</v>
      </c>
      <c r="P140" s="155">
        <f t="shared" ref="P140:P142" ca="1" si="66">IF(M140&gt;0,N140*100/M140,0)</f>
        <v>89.298194241093213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204900</v>
      </c>
      <c r="M142" s="161">
        <f t="shared" ca="1" si="68"/>
        <v>204900</v>
      </c>
      <c r="N142" s="161">
        <f t="shared" ca="1" si="68"/>
        <v>182972</v>
      </c>
      <c r="O142" s="160">
        <f t="shared" ca="1" si="65"/>
        <v>89.298194241093213</v>
      </c>
      <c r="P142" s="160">
        <f t="shared" ca="1" si="66"/>
        <v>89.298194241093213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204900</v>
      </c>
      <c r="M144" s="173">
        <f ca="1">IFERROR(__xludf.DUMMYFUNCTION("IMPORTRANGE(""https://docs.google.com/spreadsheets/d/1Yj_ptqi66GCucihVvJfMjLAmec39IyEx_6qawtMGysU/edit?usp=sharing"",""สบก!BJ92"")"),204900)</f>
        <v>204900</v>
      </c>
      <c r="N144" s="174">
        <f ca="1">IFERROR(__xludf.DUMMYFUNCTION("IMPORTRANGE(""https://docs.google.com/spreadsheets/d/1Yj_ptqi66GCucihVvJfMjLAmec39IyEx_6qawtMGysU/edit?usp=sharing"",""สบก!BK92"")"),182972)</f>
        <v>182972</v>
      </c>
      <c r="O144" s="175">
        <f ca="1">IF(L144&gt;0,N144*100/L144,0)</f>
        <v>89.298194241093213</v>
      </c>
      <c r="P144" s="175">
        <f ca="1">IF(M144&gt;0,N144*100/M144,0)</f>
        <v>89.298194241093213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IFERROR(__xludf.DUMMYFUNCTION("IMPORTRANGE(""https://docs.google.com/spreadsheets/d/1Yj_ptqi66GCucihVvJfMjLAmec39IyEx_6qawtMGysU/edit?usp=sharing"",""สบก!BF92"")"),0)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IFERROR(__xludf.DUMMYFUNCTION("IMPORTRANGE(""https://docs.google.com/spreadsheets/d/1Yj_ptqi66GCucihVvJfMjLAmec39IyEx_6qawtMGysU/edit?usp=sharing"",""สบก!BG92"")"),204900)</f>
        <v>204900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IFERROR(__xludf.DUMMYFUNCTION("IMPORTRANGE(""https://docs.google.com/spreadsheets/d/1IYY_tgx_IHuhSq3AJ5eI5OnqOPBNLWSHKh2a30DoXe8/edit?usp=sharing"",""สงขลา!I74"")"),4)</f>
        <v>4</v>
      </c>
      <c r="J149" s="281">
        <f ca="1">IFERROR(__xludf.DUMMYFUNCTION("IMPORTRANGE(""https://docs.google.com/spreadsheets/d/1IYY_tgx_IHuhSq3AJ5eI5OnqOPBNLWSHKh2a30DoXe8/edit?usp=sharing"",""สงขลา!J74"")"),3)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IFERROR(__xludf.DUMMYFUNCTION("IMPORTRANGE(""https://docs.google.com/spreadsheets/d/1IYY_tgx_IHuhSq3AJ5eI5OnqOPBNLWSHKh2a30DoXe8/edit?usp=sharing"",""สงขลา!J79"")"),0)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IFERROR(__xludf.DUMMYFUNCTION("IMPORTRANGE(""https://docs.google.com/spreadsheets/d/1IYY_tgx_IHuhSq3AJ5eI5OnqOPBNLWSHKh2a30DoXe8/edit?usp=sharing"",""สงขลา!J80"")"),1)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IFERROR(__xludf.DUMMYFUNCTION("IMPORTRANGE(""https://docs.google.com/spreadsheets/d/1IYY_tgx_IHuhSq3AJ5eI5OnqOPBNLWSHKh2a30DoXe8/edit?usp=sharing"",""สงขลา!J81"")"),1)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IFERROR(__xludf.DUMMYFUNCTION("IMPORTRANGE(""https://docs.google.com/spreadsheets/d/1IYY_tgx_IHuhSq3AJ5eI5OnqOPBNLWSHKh2a30DoXe8/edit?usp=sharing"",""สงขลา!J82"")"),1)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IFERROR(__xludf.DUMMYFUNCTION("IMPORTRANGE(""https://docs.google.com/spreadsheets/d/1IYY_tgx_IHuhSq3AJ5eI5OnqOPBNLWSHKh2a30DoXe8/edit?usp=sharing"",""สงขลา!I83"")"),4)</f>
        <v>4</v>
      </c>
      <c r="J158" s="195">
        <f ca="1">IFERROR(__xludf.DUMMYFUNCTION("IMPORTRANGE(""https://docs.google.com/spreadsheets/d/1IYY_tgx_IHuhSq3AJ5eI5OnqOPBNLWSHKh2a30DoXe8/edit?usp=sharing"",""สงขลา!J83"")"),3)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IFERROR(__xludf.DUMMYFUNCTION("IMPORTRANGE(""https://docs.google.com/spreadsheets/d/1IYY_tgx_IHuhSq3AJ5eI5OnqOPBNLWSHKh2a30DoXe8/edit?usp=sharing"",""สงขลา!J84"")"),45)</f>
        <v>45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IFERROR(__xludf.DUMMYFUNCTION("IMPORTRANGE(""https://docs.google.com/spreadsheets/d/1IYY_tgx_IHuhSq3AJ5eI5OnqOPBNLWSHKh2a30DoXe8/edit?usp=sharing"",""สงขลา!J85"")"),45)</f>
        <v>45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IFERROR(__xludf.DUMMYFUNCTION("IMPORTRANGE(""https://docs.google.com/spreadsheets/d/1IYY_tgx_IHuhSq3AJ5eI5OnqOPBNLWSHKh2a30DoXe8/edit?usp=sharing"",""สงขลา!J87"")"),0)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IFERROR(__xludf.DUMMYFUNCTION("IMPORTRANGE(""https://docs.google.com/spreadsheets/d/1IYY_tgx_IHuhSq3AJ5eI5OnqOPBNLWSHKh2a30DoXe8/edit?usp=sharing"",""สงขลา!J88"")"),0)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IFERROR(__xludf.DUMMYFUNCTION("IMPORTRANGE(""https://docs.google.com/spreadsheets/d/1IYY_tgx_IHuhSq3AJ5eI5OnqOPBNLWSHKh2a30DoXe8/edit?usp=sharing"",""สงขลา!J94"")"),0)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IFERROR(__xludf.DUMMYFUNCTION("IMPORTRANGE(""https://docs.google.com/spreadsheets/d/1IYY_tgx_IHuhSq3AJ5eI5OnqOPBNLWSHKh2a30DoXe8/edit?usp=sharing"",""สงขลา!J95"")"),1)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IFERROR(__xludf.DUMMYFUNCTION("IMPORTRANGE(""https://docs.google.com/spreadsheets/d/1IYY_tgx_IHuhSq3AJ5eI5OnqOPBNLWSHKh2a30DoXe8/edit?usp=sharing"",""สงขลา!J96"")"),1)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IFERROR(__xludf.DUMMYFUNCTION("IMPORTRANGE(""https://docs.google.com/spreadsheets/d/1IYY_tgx_IHuhSq3AJ5eI5OnqOPBNLWSHKh2a30DoXe8/edit?usp=sharing"",""สงขลา!J97"")"),1)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IFERROR(__xludf.DUMMYFUNCTION("IMPORTRANGE(""https://docs.google.com/spreadsheets/d/1IYY_tgx_IHuhSq3AJ5eI5OnqOPBNLWSHKh2a30DoXe8/edit?usp=sharing"",""สงขลา!I98"")"),6)</f>
        <v>6</v>
      </c>
      <c r="J173" s="195">
        <f ca="1">IFERROR(__xludf.DUMMYFUNCTION("IMPORTRANGE(""https://docs.google.com/spreadsheets/d/1IYY_tgx_IHuhSq3AJ5eI5OnqOPBNLWSHKh2a30DoXe8/edit?usp=sharing"",""สงขลา!J98"")"),6)</f>
        <v>6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IFERROR(__xludf.DUMMYFUNCTION("IMPORTRANGE(""https://docs.google.com/spreadsheets/d/1IYY_tgx_IHuhSq3AJ5eI5OnqOPBNLWSHKh2a30DoXe8/edit?usp=sharing"",""สงขลา!J99"")"),0)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IFERROR(__xludf.DUMMYFUNCTION("IMPORTRANGE(""https://docs.google.com/spreadsheets/d/1IYY_tgx_IHuhSq3AJ5eI5OnqOPBNLWSHKh2a30DoXe8/edit?usp=sharing"",""สงขลา!J100"")"),0)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IFERROR(__xludf.DUMMYFUNCTION("IMPORTRANGE(""https://docs.google.com/spreadsheets/d/1IYY_tgx_IHuhSq3AJ5eI5OnqOPBNLWSHKh2a30DoXe8/edit?usp=sharing"",""สงขลา!J106"")"),0)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IFERROR(__xludf.DUMMYFUNCTION("IMPORTRANGE(""https://docs.google.com/spreadsheets/d/1IYY_tgx_IHuhSq3AJ5eI5OnqOPBNLWSHKh2a30DoXe8/edit?usp=sharing"",""สงขลา!J107"")"),1)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IFERROR(__xludf.DUMMYFUNCTION("IMPORTRANGE(""https://docs.google.com/spreadsheets/d/1IYY_tgx_IHuhSq3AJ5eI5OnqOPBNLWSHKh2a30DoXe8/edit?usp=sharing"",""สงขลา!J108"")"),1)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IFERROR(__xludf.DUMMYFUNCTION("IMPORTRANGE(""https://docs.google.com/spreadsheets/d/1IYY_tgx_IHuhSq3AJ5eI5OnqOPBNLWSHKh2a30DoXe8/edit?usp=sharing"",""สงขลา!J109"")"),1)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IFERROR(__xludf.DUMMYFUNCTION("IMPORTRANGE(""https://docs.google.com/spreadsheets/d/1IYY_tgx_IHuhSq3AJ5eI5OnqOPBNLWSHKh2a30DoXe8/edit?usp=sharing"",""สงขลา!I110"")"),7)</f>
        <v>7</v>
      </c>
      <c r="J185" s="210">
        <f ca="1">IFERROR(__xludf.DUMMYFUNCTION("IMPORTRANGE(""https://docs.google.com/spreadsheets/d/1IYY_tgx_IHuhSq3AJ5eI5OnqOPBNLWSHKh2a30DoXe8/edit?usp=sharing"",""สงขลา!J110"")"),7)</f>
        <v>7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IFERROR(__xludf.DUMMYFUNCTION("IMPORTRANGE(""https://docs.google.com/spreadsheets/d/1IYY_tgx_IHuhSq3AJ5eI5OnqOPBNLWSHKh2a30DoXe8/edit?usp=sharing"",""สงขลา!I111"")"),7)</f>
        <v>7</v>
      </c>
      <c r="J186" s="210">
        <f ca="1">IFERROR(__xludf.DUMMYFUNCTION("IMPORTRANGE(""https://docs.google.com/spreadsheets/d/1IYY_tgx_IHuhSq3AJ5eI5OnqOPBNLWSHKh2a30DoXe8/edit?usp=sharing"",""สงขลา!J111"")"),7)</f>
        <v>7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IFERROR(__xludf.DUMMYFUNCTION("IMPORTRANGE(""https://docs.google.com/spreadsheets/d/1IYY_tgx_IHuhSq3AJ5eI5OnqOPBNLWSHKh2a30DoXe8/edit?usp=sharing"",""สงขลา!J112"")"),0)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IFERROR(__xludf.DUMMYFUNCTION("IMPORTRANGE(""https://docs.google.com/spreadsheets/d/1IYY_tgx_IHuhSq3AJ5eI5OnqOPBNLWSHKh2a30DoXe8/edit?usp=sharing"",""สงขลา!J113"")"),0)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IFERROR(__xludf.DUMMYFUNCTION("IMPORTRANGE(""https://docs.google.com/spreadsheets/d/1IYY_tgx_IHuhSq3AJ5eI5OnqOPBNLWSHKh2a30DoXe8/edit?usp=sharing"",""สงขลา!J119"")"),0)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IFERROR(__xludf.DUMMYFUNCTION("IMPORTRANGE(""https://docs.google.com/spreadsheets/d/1IYY_tgx_IHuhSq3AJ5eI5OnqOPBNLWSHKh2a30DoXe8/edit?usp=sharing"",""สงขลา!J120"")"),1)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IFERROR(__xludf.DUMMYFUNCTION("IMPORTRANGE(""https://docs.google.com/spreadsheets/d/1IYY_tgx_IHuhSq3AJ5eI5OnqOPBNLWSHKh2a30DoXe8/edit?usp=sharing"",""สงขลา!J121"")"),1)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IFERROR(__xludf.DUMMYFUNCTION("IMPORTRANGE(""https://docs.google.com/spreadsheets/d/1IYY_tgx_IHuhSq3AJ5eI5OnqOPBNLWSHKh2a30DoXe8/edit?usp=sharing"",""สงขลา!J122"")"),1)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IFERROR(__xludf.DUMMYFUNCTION("IMPORTRANGE(""https://docs.google.com/spreadsheets/d/1IYY_tgx_IHuhSq3AJ5eI5OnqOPBNLWSHKh2a30DoXe8/edit?usp=sharing"",""สงขลา!I124"")"),15000)</f>
        <v>15000</v>
      </c>
      <c r="J199" s="195">
        <f ca="1">IFERROR(__xludf.DUMMYFUNCTION("IMPORTRANGE(""https://docs.google.com/spreadsheets/d/1IYY_tgx_IHuhSq3AJ5eI5OnqOPBNLWSHKh2a30DoXe8/edit?usp=sharing"",""สงขลา!J124"")"),0)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IFERROR(__xludf.DUMMYFUNCTION("IMPORTRANGE(""https://docs.google.com/spreadsheets/d/1IYY_tgx_IHuhSq3AJ5eI5OnqOPBNLWSHKh2a30DoXe8/edit?usp=sharing"",""สงขลา!I125"")"),15000)</f>
        <v>15000</v>
      </c>
      <c r="J200" s="195">
        <f ca="1">IFERROR(__xludf.DUMMYFUNCTION("IMPORTRANGE(""https://docs.google.com/spreadsheets/d/1IYY_tgx_IHuhSq3AJ5eI5OnqOPBNLWSHKh2a30DoXe8/edit?usp=sharing"",""สงขลา!J125"")"),0)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IFERROR(__xludf.DUMMYFUNCTION("IMPORTRANGE(""https://docs.google.com/spreadsheets/d/1IYY_tgx_IHuhSq3AJ5eI5OnqOPBNLWSHKh2a30DoXe8/edit?usp=sharing"",""สงขลา!I126"")"),0)</f>
        <v>0</v>
      </c>
      <c r="J201" s="195">
        <f ca="1">IFERROR(__xludf.DUMMYFUNCTION("IMPORTRANGE(""https://docs.google.com/spreadsheets/d/1IYY_tgx_IHuhSq3AJ5eI5OnqOPBNLWSHKh2a30DoXe8/edit?usp=sharing"",""สงขลา!J126"")"),0)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IFERROR(__xludf.DUMMYFUNCTION("IMPORTRANGE(""https://docs.google.com/spreadsheets/d/1IYY_tgx_IHuhSq3AJ5eI5OnqOPBNLWSHKh2a30DoXe8/edit?usp=sharing"",""สงขลา!J127"")"),0)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IFERROR(__xludf.DUMMYFUNCTION("IMPORTRANGE(""https://docs.google.com/spreadsheets/d/1IYY_tgx_IHuhSq3AJ5eI5OnqOPBNLWSHKh2a30DoXe8/edit?usp=sharing"",""สงขลา!J128"")"),0)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IFERROR(__xludf.DUMMYFUNCTION("IMPORTRANGE(""https://docs.google.com/spreadsheets/d/1IYY_tgx_IHuhSq3AJ5eI5OnqOPBNLWSHKh2a30DoXe8/edit?usp=sharing"",""สงขลา!J134"")"),0)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IFERROR(__xludf.DUMMYFUNCTION("IMPORTRANGE(""https://docs.google.com/spreadsheets/d/1IYY_tgx_IHuhSq3AJ5eI5OnqOPBNLWSHKh2a30DoXe8/edit?usp=sharing"",""สงขลา!J135"")"),0)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IFERROR(__xludf.DUMMYFUNCTION("IMPORTRANGE(""https://docs.google.com/spreadsheets/d/1IYY_tgx_IHuhSq3AJ5eI5OnqOPBNLWSHKh2a30DoXe8/edit?usp=sharing"",""สงขลา!J136"")"),0)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IFERROR(__xludf.DUMMYFUNCTION("IMPORTRANGE(""https://docs.google.com/spreadsheets/d/1IYY_tgx_IHuhSq3AJ5eI5OnqOPBNLWSHKh2a30DoXe8/edit?usp=sharing"",""สงขลา!J137"")"),0)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IFERROR(__xludf.DUMMYFUNCTION("IMPORTRANGE(""https://docs.google.com/spreadsheets/d/1IYY_tgx_IHuhSq3AJ5eI5OnqOPBNLWSHKh2a30DoXe8/edit?usp=sharing"",""สงขลา!I138"")"),0)</f>
        <v>0</v>
      </c>
      <c r="J213" s="210">
        <f ca="1">IFERROR(__xludf.DUMMYFUNCTION("IMPORTRANGE(""https://docs.google.com/spreadsheets/d/1IYY_tgx_IHuhSq3AJ5eI5OnqOPBNLWSHKh2a30DoXe8/edit?usp=sharing"",""สงขลา!J138"")"),0)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IFERROR(__xludf.DUMMYFUNCTION("IMPORTRANGE(""https://docs.google.com/spreadsheets/d/1IYY_tgx_IHuhSq3AJ5eI5OnqOPBNLWSHKh2a30DoXe8/edit?usp=sharing"",""สงขลา!I140"")"),0)</f>
        <v>0</v>
      </c>
      <c r="J215" s="210">
        <f ca="1">IFERROR(__xludf.DUMMYFUNCTION("IMPORTRANGE(""https://docs.google.com/spreadsheets/d/1IYY_tgx_IHuhSq3AJ5eI5OnqOPBNLWSHKh2a30DoXe8/edit?usp=sharing"",""สงขลา!J140"")"),0)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IFERROR(__xludf.DUMMYFUNCTION("IMPORTRANGE(""https://docs.google.com/spreadsheets/d/1IYY_tgx_IHuhSq3AJ5eI5OnqOPBNLWSHKh2a30DoXe8/edit?usp=sharing"",""สงขลา!I141"")"),0)</f>
        <v>0</v>
      </c>
      <c r="J216" s="210">
        <f ca="1">IFERROR(__xludf.DUMMYFUNCTION("IMPORTRANGE(""https://docs.google.com/spreadsheets/d/1IYY_tgx_IHuhSq3AJ5eI5OnqOPBNLWSHKh2a30DoXe8/edit?usp=sharing"",""สงขลา!J141"")"),0)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IFERROR(__xludf.DUMMYFUNCTION("IMPORTRANGE(""https://docs.google.com/spreadsheets/d/1IYY_tgx_IHuhSq3AJ5eI5OnqOPBNLWSHKh2a30DoXe8/edit?usp=sharing"",""สงขลา!J142"")"),0)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IFERROR(__xludf.DUMMYFUNCTION("IMPORTRANGE(""https://docs.google.com/spreadsheets/d/1IYY_tgx_IHuhSq3AJ5eI5OnqOPBNLWSHKh2a30DoXe8/edit?usp=sharing"",""สงขลา!J143"")"),0)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IFERROR(__xludf.DUMMYFUNCTION("IMPORTRANGE(""https://docs.google.com/spreadsheets/d/1IYY_tgx_IHuhSq3AJ5eI5OnqOPBNLWSHKh2a30DoXe8/edit?usp=sharing"",""สงขลา!I144"")"),15)</f>
        <v>15</v>
      </c>
      <c r="J219" s="273">
        <f ca="1">IFERROR(__xludf.DUMMYFUNCTION("IMPORTRANGE(""https://docs.google.com/spreadsheets/d/1IYY_tgx_IHuhSq3AJ5eI5OnqOPBNLWSHKh2a30DoXe8/edit?usp=sharing"",""สงขลา!J144"")"),15)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IFERROR(__xludf.DUMMYFUNCTION("IMPORTRANGE(""https://docs.google.com/spreadsheets/d/1Yj_ptqi66GCucihVvJfMjLAmec39IyEx_6qawtMGysU/edit?usp=sharing"",""สบก!BS92"")"),21125)</f>
        <v>21125</v>
      </c>
      <c r="N224" s="174">
        <f ca="1">IFERROR(__xludf.DUMMYFUNCTION("IMPORTRANGE(""https://docs.google.com/spreadsheets/d/1Yj_ptqi66GCucihVvJfMjLAmec39IyEx_6qawtMGysU/edit?usp=sharing"",""สบก!BT92"")"),21125)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IFERROR(__xludf.DUMMYFUNCTION("IMPORTRANGE(""https://docs.google.com/spreadsheets/d/1Yj_ptqi66GCucihVvJfMjLAmec39IyEx_6qawtMGysU/edit?usp=sharing"",""สบก!BP92"")"),21125)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IFERROR(__xludf.DUMMYFUNCTION("IMPORTRANGE(""https://docs.google.com/spreadsheets/d/1IYY_tgx_IHuhSq3AJ5eI5OnqOPBNLWSHKh2a30DoXe8/edit?usp=sharing"",""สงขลา!I149"")"),15)</f>
        <v>15</v>
      </c>
      <c r="J229" s="273">
        <f ca="1">IFERROR(__xludf.DUMMYFUNCTION("IMPORTRANGE(""https://docs.google.com/spreadsheets/d/1IYY_tgx_IHuhSq3AJ5eI5OnqOPBNLWSHKh2a30DoXe8/edit?usp=sharing"",""สงขลา!J149"")"),15)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IFERROR(__xludf.DUMMYFUNCTION("IMPORTRANGE(""https://docs.google.com/spreadsheets/d/1IYY_tgx_IHuhSq3AJ5eI5OnqOPBNLWSHKh2a30DoXe8/edit?usp=sharing"",""สงขลา!J151"")"),0)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IFERROR(__xludf.DUMMYFUNCTION("IMPORTRANGE(""https://docs.google.com/spreadsheets/d/1IYY_tgx_IHuhSq3AJ5eI5OnqOPBNLWSHKh2a30DoXe8/edit?usp=sharing"",""สงขลา!J152"")"),1)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IFERROR(__xludf.DUMMYFUNCTION("IMPORTRANGE(""https://docs.google.com/spreadsheets/d/1IYY_tgx_IHuhSq3AJ5eI5OnqOPBNLWSHKh2a30DoXe8/edit?usp=sharing"",""สงขลา!J153"")"),1)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IFERROR(__xludf.DUMMYFUNCTION("IMPORTRANGE(""https://docs.google.com/spreadsheets/d/1IYY_tgx_IHuhSq3AJ5eI5OnqOPBNLWSHKh2a30DoXe8/edit?usp=sharing"",""สงขลา!J154"")"),1)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IFERROR(__xludf.DUMMYFUNCTION("IMPORTRANGE(""https://docs.google.com/spreadsheets/d/1IYY_tgx_IHuhSq3AJ5eI5OnqOPBNLWSHKh2a30DoXe8/edit?usp=sharing"",""สงขลา!I155"")"),15)</f>
        <v>15</v>
      </c>
      <c r="J235" s="195">
        <f ca="1">IFERROR(__xludf.DUMMYFUNCTION("IMPORTRANGE(""https://docs.google.com/spreadsheets/d/1IYY_tgx_IHuhSq3AJ5eI5OnqOPBNLWSHKh2a30DoXe8/edit?usp=sharing"",""สงขลา!J155"")"),15)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IFERROR(__xludf.DUMMYFUNCTION("IMPORTRANGE(""https://docs.google.com/spreadsheets/d/1IYY_tgx_IHuhSq3AJ5eI5OnqOPBNLWSHKh2a30DoXe8/edit?usp=sharing"",""สงขลา!J156"")"),0)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IFERROR(__xludf.DUMMYFUNCTION("IMPORTRANGE(""https://docs.google.com/spreadsheets/d/1IYY_tgx_IHuhSq3AJ5eI5OnqOPBNLWSHKh2a30DoXe8/edit?usp=sharing"",""สงขลา!J157"")"),0)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IFERROR(__xludf.DUMMYFUNCTION("IMPORTRANGE(""https://docs.google.com/spreadsheets/d/1IYY_tgx_IHuhSq3AJ5eI5OnqOPBNLWSHKh2a30DoXe8/edit?usp=sharing"",""สงขลา!I158"")"),0)</f>
        <v>0</v>
      </c>
      <c r="J238" s="273">
        <f ca="1">IFERROR(__xludf.DUMMYFUNCTION("IMPORTRANGE(""https://docs.google.com/spreadsheets/d/1IYY_tgx_IHuhSq3AJ5eI5OnqOPBNLWSHKh2a30DoXe8/edit?usp=sharing"",""สงขลา!J158"")"),0)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IFERROR(__xludf.DUMMYFUNCTION("IMPORTRANGE(""https://docs.google.com/spreadsheets/d/1IYY_tgx_IHuhSq3AJ5eI5OnqOPBNLWSHKh2a30DoXe8/edit?usp=sharing"",""สงขลา!J159"")"),"")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IFERROR(__xludf.DUMMYFUNCTION("IMPORTRANGE(""https://docs.google.com/spreadsheets/d/1IYY_tgx_IHuhSq3AJ5eI5OnqOPBNLWSHKh2a30DoXe8/edit?usp=sharing"",""สงขลา!J161"")"),0)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IFERROR(__xludf.DUMMYFUNCTION("IMPORTRANGE(""https://docs.google.com/spreadsheets/d/1IYY_tgx_IHuhSq3AJ5eI5OnqOPBNLWSHKh2a30DoXe8/edit?usp=sharing"",""สงขลา!J162"")"),0)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IFERROR(__xludf.DUMMYFUNCTION("IMPORTRANGE(""https://docs.google.com/spreadsheets/d/1IYY_tgx_IHuhSq3AJ5eI5OnqOPBNLWSHKh2a30DoXe8/edit?usp=sharing"",""สงขลา!J163"")"),0)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IFERROR(__xludf.DUMMYFUNCTION("IMPORTRANGE(""https://docs.google.com/spreadsheets/d/1IYY_tgx_IHuhSq3AJ5eI5OnqOPBNLWSHKh2a30DoXe8/edit?usp=sharing"",""สงขลา!I164"")"),0)</f>
        <v>0</v>
      </c>
      <c r="J244" s="194">
        <f ca="1">IFERROR(__xludf.DUMMYFUNCTION("IMPORTRANGE(""https://docs.google.com/spreadsheets/d/1IYY_tgx_IHuhSq3AJ5eI5OnqOPBNLWSHKh2a30DoXe8/edit?usp=sharing"",""สงขลา!J164"")"),0)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IFERROR(__xludf.DUMMYFUNCTION("IMPORTRANGE(""https://docs.google.com/spreadsheets/d/1IYY_tgx_IHuhSq3AJ5eI5OnqOPBNLWSHKh2a30DoXe8/edit?usp=sharing"",""สงขลา!J165"")"),0)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IFERROR(__xludf.DUMMYFUNCTION("IMPORTRANGE(""https://docs.google.com/spreadsheets/d/1Yj_ptqi66GCucihVvJfMjLAmec39IyEx_6qawtMGysU/edit?usp=sharing"",""สบก!CB92"")"),0)</f>
        <v>0</v>
      </c>
      <c r="N254" s="174">
        <f ca="1">IFERROR(__xludf.DUMMYFUNCTION("IMPORTRANGE(""https://docs.google.com/spreadsheets/d/1Yj_ptqi66GCucihVvJfMjLAmec39IyEx_6qawtMGysU/edit?usp=sharing"",""สบก!CC92"")"),0)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IFERROR(__xludf.DUMMYFUNCTION("IMPORTRANGE(""https://docs.google.com/spreadsheets/d/1Yj_ptqi66GCucihVvJfMjLAmec39IyEx_6qawtMGysU/edit?usp=sharing"",""สบก!BY92"")"),0)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IFERROR(__xludf.DUMMYFUNCTION("IMPORTRANGE(""https://docs.google.com/spreadsheets/d/1IYY_tgx_IHuhSq3AJ5eI5OnqOPBNLWSHKh2a30DoXe8/edit?usp=sharing"",""สงขลา!J175"")"),0)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IFERROR(__xludf.DUMMYFUNCTION("IMPORTRANGE(""https://docs.google.com/spreadsheets/d/1IYY_tgx_IHuhSq3AJ5eI5OnqOPBNLWSHKh2a30DoXe8/edit?usp=sharing"",""สงขลา!J176"")"),0)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IFERROR(__xludf.DUMMYFUNCTION("IMPORTRANGE(""https://docs.google.com/spreadsheets/d/1IYY_tgx_IHuhSq3AJ5eI5OnqOPBNLWSHKh2a30DoXe8/edit?usp=sharing"",""สงขลา!J177"")"),0)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IFERROR(__xludf.DUMMYFUNCTION("IMPORTRANGE(""https://docs.google.com/spreadsheets/d/1IYY_tgx_IHuhSq3AJ5eI5OnqOPBNLWSHKh2a30DoXe8/edit?usp=sharing"",""สงขลา!J178"")"),0)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IFERROR(__xludf.DUMMYFUNCTION("IMPORTRANGE(""https://docs.google.com/spreadsheets/d/1IYY_tgx_IHuhSq3AJ5eI5OnqOPBNLWSHKh2a30DoXe8/edit?usp=sharing"",""สงขลา!I179"")"),0)</f>
        <v>0</v>
      </c>
      <c r="J264" s="195">
        <f ca="1">IFERROR(__xludf.DUMMYFUNCTION("IMPORTRANGE(""https://docs.google.com/spreadsheets/d/1IYY_tgx_IHuhSq3AJ5eI5OnqOPBNLWSHKh2a30DoXe8/edit?usp=sharing"",""สงขลา!J179"")"),0)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IFERROR(__xludf.DUMMYFUNCTION("IMPORTRANGE(""https://docs.google.com/spreadsheets/d/1IYY_tgx_IHuhSq3AJ5eI5OnqOPBNLWSHKh2a30DoXe8/edit?usp=sharing"",""สงขลา!I180"")"),0)</f>
        <v>0</v>
      </c>
      <c r="J265" s="195">
        <f ca="1">IFERROR(__xludf.DUMMYFUNCTION("IMPORTRANGE(""https://docs.google.com/spreadsheets/d/1IYY_tgx_IHuhSq3AJ5eI5OnqOPBNLWSHKh2a30DoXe8/edit?usp=sharing"",""สงขลา!J180"")"),0)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IFERROR(__xludf.DUMMYFUNCTION("IMPORTRANGE(""https://docs.google.com/spreadsheets/d/1IYY_tgx_IHuhSq3AJ5eI5OnqOPBNLWSHKh2a30DoXe8/edit?usp=sharing"",""สงขลา!I181"")"),0)</f>
        <v>0</v>
      </c>
      <c r="J266" s="195">
        <f ca="1">IFERROR(__xludf.DUMMYFUNCTION("IMPORTRANGE(""https://docs.google.com/spreadsheets/d/1IYY_tgx_IHuhSq3AJ5eI5OnqOPBNLWSHKh2a30DoXe8/edit?usp=sharing"",""สงขลา!J181"")"),0)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IFERROR(__xludf.DUMMYFUNCTION("IMPORTRANGE(""https://docs.google.com/spreadsheets/d/1IYY_tgx_IHuhSq3AJ5eI5OnqOPBNLWSHKh2a30DoXe8/edit?usp=sharing"",""สงขลา!I182"")"),0)</f>
        <v>0</v>
      </c>
      <c r="J267" s="195">
        <f ca="1">IFERROR(__xludf.DUMMYFUNCTION("IMPORTRANGE(""https://docs.google.com/spreadsheets/d/1IYY_tgx_IHuhSq3AJ5eI5OnqOPBNLWSHKh2a30DoXe8/edit?usp=sharing"",""สงขลา!J182"")"),0)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IFERROR(__xludf.DUMMYFUNCTION("IMPORTRANGE(""https://docs.google.com/spreadsheets/d/1IYY_tgx_IHuhSq3AJ5eI5OnqOPBNLWSHKh2a30DoXe8/edit?usp=sharing"",""สงขลา!J183"")"),0)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147706</v>
      </c>
      <c r="O271" s="155">
        <f t="shared" ref="O271:O273" ca="1" si="84">IF(L271&gt;0,N271*100/L271,0)</f>
        <v>78.902777777777771</v>
      </c>
      <c r="P271" s="155">
        <f t="shared" ref="P271:P273" ca="1" si="85">IF(M271&gt;0,N271*100/M271,0)</f>
        <v>78.902777777777771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147706</v>
      </c>
      <c r="O273" s="160">
        <f t="shared" ca="1" si="84"/>
        <v>78.902777777777771</v>
      </c>
      <c r="P273" s="160">
        <f t="shared" ca="1" si="85"/>
        <v>78.902777777777771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IFERROR(__xludf.DUMMYFUNCTION("IMPORTRANGE(""https://docs.google.com/spreadsheets/d/1Yj_ptqi66GCucihVvJfMjLAmec39IyEx_6qawtMGysU/edit?usp=sharing"",""สบก!CK92"")"),187200)</f>
        <v>187200</v>
      </c>
      <c r="N275" s="174">
        <f ca="1">IFERROR(__xludf.DUMMYFUNCTION("IMPORTRANGE(""https://docs.google.com/spreadsheets/d/1Yj_ptqi66GCucihVvJfMjLAmec39IyEx_6qawtMGysU/edit?usp=sharing"",""สบก!CL92"")"),147706)</f>
        <v>147706</v>
      </c>
      <c r="O275" s="175">
        <f ca="1">IF(L275&gt;0,N275*100/L275,0)</f>
        <v>78.902777777777771</v>
      </c>
      <c r="P275" s="175">
        <f ca="1">IF(M275&gt;0,N275*100/M275,0)</f>
        <v>78.902777777777771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IFERROR(__xludf.DUMMYFUNCTION("IMPORTRANGE(""https://docs.google.com/spreadsheets/d/1Yj_ptqi66GCucihVvJfMjLAmec39IyEx_6qawtMGysU/edit?usp=sharing"",""สบก!CG92"")"),132000)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IFERROR(__xludf.DUMMYFUNCTION("IMPORTRANGE(""https://docs.google.com/spreadsheets/d/1Yj_ptqi66GCucihVvJfMjLAmec39IyEx_6qawtMGysU/edit?usp=sharing"",""สบก!CH92"")"),55200)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IFERROR(__xludf.DUMMYFUNCTION("IMPORTRANGE(""https://docs.google.com/spreadsheets/d/1IYY_tgx_IHuhSq3AJ5eI5OnqOPBNLWSHKh2a30DoXe8/edit?usp=sharing"",""สงขลา!J191"")"),0)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IFERROR(__xludf.DUMMYFUNCTION("IMPORTRANGE(""https://docs.google.com/spreadsheets/d/1IYY_tgx_IHuhSq3AJ5eI5OnqOPBNLWSHKh2a30DoXe8/edit?usp=sharing"",""สงขลา!J192"")"),1)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IFERROR(__xludf.DUMMYFUNCTION("IMPORTRANGE(""https://docs.google.com/spreadsheets/d/1IYY_tgx_IHuhSq3AJ5eI5OnqOPBNLWSHKh2a30DoXe8/edit?usp=sharing"",""สงขลา!J193"")"),1)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IFERROR(__xludf.DUMMYFUNCTION("IMPORTRANGE(""https://docs.google.com/spreadsheets/d/1IYY_tgx_IHuhSq3AJ5eI5OnqOPBNLWSHKh2a30DoXe8/edit?usp=sharing"",""สงขลา!J194"")"),1)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IFERROR(__xludf.DUMMYFUNCTION("IMPORTRANGE(""https://docs.google.com/spreadsheets/d/1IYY_tgx_IHuhSq3AJ5eI5OnqOPBNLWSHKh2a30DoXe8/edit?usp=sharing"",""สงขลา!I195"")"),15)</f>
        <v>15</v>
      </c>
      <c r="J285" s="195">
        <f ca="1">IFERROR(__xludf.DUMMYFUNCTION("IMPORTRANGE(""https://docs.google.com/spreadsheets/d/1IYY_tgx_IHuhSq3AJ5eI5OnqOPBNLWSHKh2a30DoXe8/edit?usp=sharing"",""สงขลา!J195"")"),15)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IFERROR(__xludf.DUMMYFUNCTION("IMPORTRANGE(""https://docs.google.com/spreadsheets/d/1IYY_tgx_IHuhSq3AJ5eI5OnqOPBNLWSHKh2a30DoXe8/edit?usp=sharing"",""สงขลา!J196"")"),0)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IFERROR(__xludf.DUMMYFUNCTION("IMPORTRANGE(""https://docs.google.com/spreadsheets/d/1IYY_tgx_IHuhSq3AJ5eI5OnqOPBNLWSHKh2a30DoXe8/edit?usp=sharing"",""สงขลา!J197"")"),0)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81820</v>
      </c>
      <c r="M290" s="156">
        <f t="shared" ca="1" si="88"/>
        <v>81820</v>
      </c>
      <c r="N290" s="156">
        <f t="shared" ca="1" si="88"/>
        <v>80560</v>
      </c>
      <c r="O290" s="155">
        <f t="shared" ref="O290:O292" ca="1" si="89">IF(L290&gt;0,N290*100/L290,0)</f>
        <v>98.46003422146174</v>
      </c>
      <c r="P290" s="155">
        <f t="shared" ref="P290:P292" ca="1" si="90">IF(M290&gt;0,N290*100/M290,0)</f>
        <v>98.46003422146174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81820</v>
      </c>
      <c r="M292" s="161">
        <f t="shared" ca="1" si="92"/>
        <v>81820</v>
      </c>
      <c r="N292" s="161">
        <f t="shared" ca="1" si="92"/>
        <v>80560</v>
      </c>
      <c r="O292" s="160">
        <f t="shared" ca="1" si="89"/>
        <v>98.46003422146174</v>
      </c>
      <c r="P292" s="160">
        <f t="shared" ca="1" si="90"/>
        <v>98.46003422146174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81820</v>
      </c>
      <c r="M294" s="173">
        <f ca="1">IFERROR(__xludf.DUMMYFUNCTION("IMPORTRANGE(""https://docs.google.com/spreadsheets/d/1Yj_ptqi66GCucihVvJfMjLAmec39IyEx_6qawtMGysU/edit?usp=sharing"",""สบก!CT92"")"),81820)</f>
        <v>81820</v>
      </c>
      <c r="N294" s="174">
        <f ca="1">IFERROR(__xludf.DUMMYFUNCTION("IMPORTRANGE(""https://docs.google.com/spreadsheets/d/1Yj_ptqi66GCucihVvJfMjLAmec39IyEx_6qawtMGysU/edit?usp=sharing"",""สบก!CU92"")"),80560)</f>
        <v>80560</v>
      </c>
      <c r="O294" s="175">
        <f ca="1">IF(L294&gt;0,N294*100/L294,0)</f>
        <v>98.46003422146174</v>
      </c>
      <c r="P294" s="175">
        <f ca="1">IF(M294&gt;0,N294*100/M294,0)</f>
        <v>98.46003422146174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IFERROR(__xludf.DUMMYFUNCTION("IMPORTRANGE(""https://docs.google.com/spreadsheets/d/1Yj_ptqi66GCucihVvJfMjLAmec39IyEx_6qawtMGysU/edit?usp=sharing"",""สบก!CQ92"")"),81820)</f>
        <v>81820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IFERROR(__xludf.DUMMYFUNCTION("IMPORTRANGE(""https://docs.google.com/spreadsheets/d/1IYY_tgx_IHuhSq3AJ5eI5OnqOPBNLWSHKh2a30DoXe8/edit?usp=sharing"",""สงขลา!J205"")"),0)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IFERROR(__xludf.DUMMYFUNCTION("IMPORTRANGE(""https://docs.google.com/spreadsheets/d/1IYY_tgx_IHuhSq3AJ5eI5OnqOPBNLWSHKh2a30DoXe8/edit?usp=sharing"",""สงขลา!J206"")"),1)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IFERROR(__xludf.DUMMYFUNCTION("IMPORTRANGE(""https://docs.google.com/spreadsheets/d/1IYY_tgx_IHuhSq3AJ5eI5OnqOPBNLWSHKh2a30DoXe8/edit?usp=sharing"",""สงขลา!J207"")"),1)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IFERROR(__xludf.DUMMYFUNCTION("IMPORTRANGE(""https://docs.google.com/spreadsheets/d/1IYY_tgx_IHuhSq3AJ5eI5OnqOPBNLWSHKh2a30DoXe8/edit?usp=sharing"",""สงขลา!J208"")"),1)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IFERROR(__xludf.DUMMYFUNCTION("IMPORTRANGE(""https://docs.google.com/spreadsheets/d/1IYY_tgx_IHuhSq3AJ5eI5OnqOPBNLWSHKh2a30DoXe8/edit?usp=sharing"",""สงขลา!I209"")"),15)</f>
        <v>15</v>
      </c>
      <c r="J304" s="210">
        <f ca="1">IFERROR(__xludf.DUMMYFUNCTION("IMPORTRANGE(""https://docs.google.com/spreadsheets/d/1IYY_tgx_IHuhSq3AJ5eI5OnqOPBNLWSHKh2a30DoXe8/edit?usp=sharing"",""สงขลา!J209"")"),15)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IFERROR(__xludf.DUMMYFUNCTION("IMPORTRANGE(""https://docs.google.com/spreadsheets/d/1IYY_tgx_IHuhSq3AJ5eI5OnqOPBNLWSHKh2a30DoXe8/edit?usp=sharing"",""สงขลา!I211"")"),15)</f>
        <v>15</v>
      </c>
      <c r="J306" s="210">
        <f ca="1">IFERROR(__xludf.DUMMYFUNCTION("IMPORTRANGE(""https://docs.google.com/spreadsheets/d/1IYY_tgx_IHuhSq3AJ5eI5OnqOPBNLWSHKh2a30DoXe8/edit?usp=sharing"",""สงขลา!J211"")"),15)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IFERROR(__xludf.DUMMYFUNCTION("IMPORTRANGE(""https://docs.google.com/spreadsheets/d/1IYY_tgx_IHuhSq3AJ5eI5OnqOPBNLWSHKh2a30DoXe8/edit?usp=sharing"",""สงขลา!J212"")"),0)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IFERROR(__xludf.DUMMYFUNCTION("IMPORTRANGE(""https://docs.google.com/spreadsheets/d/1IYY_tgx_IHuhSq3AJ5eI5OnqOPBNLWSHKh2a30DoXe8/edit?usp=sharing"",""สงขลา!J213"")"),0)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1267600</v>
      </c>
      <c r="M310" s="156">
        <f t="shared" ca="1" si="93"/>
        <v>1267600</v>
      </c>
      <c r="N310" s="156">
        <f t="shared" ca="1" si="93"/>
        <v>124930</v>
      </c>
      <c r="O310" s="155">
        <f t="shared" ref="O310:O312" ca="1" si="94">IF(L310&gt;0,N310*100/L310,0)</f>
        <v>9.8556326917008512</v>
      </c>
      <c r="P310" s="155">
        <f t="shared" ref="P310:P312" ca="1" si="95">IF(M310&gt;0,N310*100/M310,0)</f>
        <v>9.8556326917008512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1267600</v>
      </c>
      <c r="M312" s="161">
        <f t="shared" ca="1" si="97"/>
        <v>1267600</v>
      </c>
      <c r="N312" s="161">
        <f t="shared" ca="1" si="97"/>
        <v>124930</v>
      </c>
      <c r="O312" s="160">
        <f t="shared" ca="1" si="94"/>
        <v>9.8556326917008512</v>
      </c>
      <c r="P312" s="160">
        <f t="shared" ca="1" si="95"/>
        <v>9.8556326917008512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217600</v>
      </c>
      <c r="M314" s="173">
        <f ca="1">IFERROR(__xludf.DUMMYFUNCTION("IMPORTRANGE(""https://docs.google.com/spreadsheets/d/1Yj_ptqi66GCucihVvJfMjLAmec39IyEx_6qawtMGysU/edit?usp=sharing"",""สบก!DC92"")"),217600)</f>
        <v>217600</v>
      </c>
      <c r="N314" s="174">
        <f ca="1">IFERROR(__xludf.DUMMYFUNCTION("IMPORTRANGE(""https://docs.google.com/spreadsheets/d/1Yj_ptqi66GCucihVvJfMjLAmec39IyEx_6qawtMGysU/edit?usp=sharing"",""สบก!DD92"")"),124930)</f>
        <v>124930</v>
      </c>
      <c r="O314" s="175">
        <f ca="1">IF(L314&gt;0,N314*100/L314,0)</f>
        <v>57.412683823529413</v>
      </c>
      <c r="P314" s="175">
        <f ca="1">IF(M314&gt;0,N314*100/M314,0)</f>
        <v>57.412683823529413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IFERROR(__xludf.DUMMYFUNCTION("IMPORTRANGE(""https://docs.google.com/spreadsheets/d/1Yj_ptqi66GCucihVvJfMjLAmec39IyEx_6qawtMGysU/edit?usp=sharing"",""สบก!CZ92"")"),217600)</f>
        <v>217600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IFERROR(__xludf.DUMMYFUNCTION("IMPORTRANGE(""https://docs.google.com/spreadsheets/d/1Yj_ptqi66GCucihVvJfMjLAmec39IyEx_6qawtMGysU/edit?usp=sharing"",""สบก!DA92"")"),1050000)</f>
        <v>1050000</v>
      </c>
      <c r="M318" s="101">
        <f ca="1">L318</f>
        <v>1050000</v>
      </c>
      <c r="N318" s="91">
        <f ca="1">IFERROR(__xludf.DUMMYFUNCTION("IMPORTRANGE(""https://docs.google.com/spreadsheets/d/1Yj_ptqi66GCucihVvJfMjLAmec39IyEx_6qawtMGysU/edit?usp=sharing"",""สบก!DE92"")"),0)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IFERROR(__xludf.DUMMYFUNCTION("IMPORTRANGE(""https://docs.google.com/spreadsheets/d/1IYY_tgx_IHuhSq3AJ5eI5OnqOPBNLWSHKh2a30DoXe8/edit?usp=sharing"",""สงขลา!J220"")"),0)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IFERROR(__xludf.DUMMYFUNCTION("IMPORTRANGE(""https://docs.google.com/spreadsheets/d/1IYY_tgx_IHuhSq3AJ5eI5OnqOPBNLWSHKh2a30DoXe8/edit?usp=sharing"",""สงขลา!J221"")"),1)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IFERROR(__xludf.DUMMYFUNCTION("IMPORTRANGE(""https://docs.google.com/spreadsheets/d/1IYY_tgx_IHuhSq3AJ5eI5OnqOPBNLWSHKh2a30DoXe8/edit?usp=sharing"",""สงขลา!J222"")"),1)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IFERROR(__xludf.DUMMYFUNCTION("IMPORTRANGE(""https://docs.google.com/spreadsheets/d/1IYY_tgx_IHuhSq3AJ5eI5OnqOPBNLWSHKh2a30DoXe8/edit?usp=sharing"",""สงขลา!J223"")"),1)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IFERROR(__xludf.DUMMYFUNCTION("IMPORTRANGE(""https://docs.google.com/spreadsheets/d/1IYY_tgx_IHuhSq3AJ5eI5OnqOPBNLWSHKh2a30DoXe8/edit?usp=sharing"",""สงขลา!I224"")"),1)</f>
        <v>1</v>
      </c>
      <c r="J324" s="210">
        <f ca="1">IFERROR(__xludf.DUMMYFUNCTION("IMPORTRANGE(""https://docs.google.com/spreadsheets/d/1IYY_tgx_IHuhSq3AJ5eI5OnqOPBNLWSHKh2a30DoXe8/edit?usp=sharing"",""สงขลา!J224"")"),1)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IFERROR(__xludf.DUMMYFUNCTION("IMPORTRANGE(""https://docs.google.com/spreadsheets/d/1IYY_tgx_IHuhSq3AJ5eI5OnqOPBNLWSHKh2a30DoXe8/edit?usp=sharing"",""สงขลา!J225"")"),0)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IFERROR(__xludf.DUMMYFUNCTION("IMPORTRANGE(""https://docs.google.com/spreadsheets/d/1IYY_tgx_IHuhSq3AJ5eI5OnqOPBNLWSHKh2a30DoXe8/edit?usp=sharing"",""สงขลา!J226"")"),0)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IFERROR(__xludf.DUMMYFUNCTION("IMPORTRANGE(""https://docs.google.com/spreadsheets/d/1IYY_tgx_IHuhSq3AJ5eI5OnqOPBNLWSHKh2a30DoXe8/edit?usp=sharing"",""สงขลา!J228"")"),257)</f>
        <v>257</v>
      </c>
      <c r="K328" s="323">
        <f ca="1">IF(I328&gt;0,J328*100/I328,0)</f>
        <v>122.38095238095238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1143610</v>
      </c>
      <c r="M329" s="156">
        <f t="shared" ca="1" si="98"/>
        <v>1185410</v>
      </c>
      <c r="N329" s="156">
        <f t="shared" ca="1" si="98"/>
        <v>880091.56</v>
      </c>
      <c r="O329" s="155">
        <f t="shared" ref="O329:O331" ca="1" si="99">IF(L329&gt;0,N329*100/L329,0)</f>
        <v>76.957315868171847</v>
      </c>
      <c r="P329" s="155">
        <f t="shared" ref="P329:P331" ca="1" si="100">IF(M329&gt;0,N329*100/M329,0)</f>
        <v>74.24364228410424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1143610</v>
      </c>
      <c r="M331" s="161">
        <f t="shared" ca="1" si="102"/>
        <v>1185410</v>
      </c>
      <c r="N331" s="161">
        <f t="shared" ca="1" si="102"/>
        <v>880091.56</v>
      </c>
      <c r="O331" s="160">
        <f t="shared" ca="1" si="99"/>
        <v>76.957315868171847</v>
      </c>
      <c r="P331" s="160">
        <f t="shared" ca="1" si="100"/>
        <v>74.24364228410424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1126610</v>
      </c>
      <c r="M333" s="173">
        <f ca="1">IFERROR(__xludf.DUMMYFUNCTION("IMPORTRANGE(""https://docs.google.com/spreadsheets/d/1Yj_ptqi66GCucihVvJfMjLAmec39IyEx_6qawtMGysU/edit?usp=sharing"",""สบก!DL92"")"),1168410)</f>
        <v>1168410</v>
      </c>
      <c r="N333" s="174">
        <f ca="1">IFERROR(__xludf.DUMMYFUNCTION("IMPORTRANGE(""https://docs.google.com/spreadsheets/d/1Yj_ptqi66GCucihVvJfMjLAmec39IyEx_6qawtMGysU/edit?usp=sharing"",""สบก!DM92"")"),863091.56)</f>
        <v>863091.56</v>
      </c>
      <c r="O333" s="175">
        <f ca="1">IF(L333&gt;0,N333*100/L333,0)</f>
        <v>76.60961290952504</v>
      </c>
      <c r="P333" s="175">
        <f ca="1">IF(M333&gt;0,N333*100/M333,0)</f>
        <v>73.86889533639733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IFERROR(__xludf.DUMMYFUNCTION("IMPORTRANGE(""https://docs.google.com/spreadsheets/d/1Yj_ptqi66GCucihVvJfMjLAmec39IyEx_6qawtMGysU/edit?usp=sharing"",""สบก!DH92"")"),773000)</f>
        <v>773000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IFERROR(__xludf.DUMMYFUNCTION("IMPORTRANGE(""https://docs.google.com/spreadsheets/d/1Yj_ptqi66GCucihVvJfMjLAmec39IyEx_6qawtMGysU/edit?usp=sharing"",""สบก!DI92"")"),353610)</f>
        <v>353610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IFERROR(__xludf.DUMMYFUNCTION("IMPORTRANGE(""https://docs.google.com/spreadsheets/d/1IYY_tgx_IHuhSq3AJ5eI5OnqOPBNLWSHKh2a30DoXe8/edit?usp=sharing"",""สงขลา!I234"")"),0)</f>
        <v>0</v>
      </c>
      <c r="J339" s="194">
        <f ca="1">IFERROR(__xludf.DUMMYFUNCTION("IMPORTRANGE(""https://docs.google.com/spreadsheets/d/1IYY_tgx_IHuhSq3AJ5eI5OnqOPBNLWSHKh2a30DoXe8/edit?usp=sharing"",""สงขลา!J234"")"),209)</f>
        <v>209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IFERROR(__xludf.DUMMYFUNCTION("IMPORTRANGE(""https://docs.google.com/spreadsheets/d/1IYY_tgx_IHuhSq3AJ5eI5OnqOPBNLWSHKh2a30DoXe8/edit?usp=sharing"",""สงขลา!I235"")"),1720)</f>
        <v>1720</v>
      </c>
      <c r="J340" s="194">
        <f ca="1">IFERROR(__xludf.DUMMYFUNCTION("IMPORTRANGE(""https://docs.google.com/spreadsheets/d/1IYY_tgx_IHuhSq3AJ5eI5OnqOPBNLWSHKh2a30DoXe8/edit?usp=sharing"",""สงขลา!J235"")"),1747.22)</f>
        <v>1747.22</v>
      </c>
      <c r="K340" s="348">
        <f t="shared" ca="1" si="103"/>
        <v>101.58255813953488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IFERROR(__xludf.DUMMYFUNCTION("IMPORTRANGE(""https://docs.google.com/spreadsheets/d/1IYY_tgx_IHuhSq3AJ5eI5OnqOPBNLWSHKh2a30DoXe8/edit?usp=sharing"",""สงขลา!I236"")"),210)</f>
        <v>210</v>
      </c>
      <c r="J341" s="194">
        <f ca="1">IFERROR(__xludf.DUMMYFUNCTION("IMPORTRANGE(""https://docs.google.com/spreadsheets/d/1IYY_tgx_IHuhSq3AJ5eI5OnqOPBNLWSHKh2a30DoXe8/edit?usp=sharing"",""สงขลา!J236"")"),339)</f>
        <v>339</v>
      </c>
      <c r="K341" s="348">
        <f t="shared" ca="1" si="103"/>
        <v>161.42857142857142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4">
        <f ca="1">IFERROR(__xludf.DUMMYFUNCTION("IMPORTRANGE(""https://docs.google.com/spreadsheets/d/1IYY_tgx_IHuhSq3AJ5eI5OnqOPBNLWSHKh2a30DoXe8/edit?usp=sharing"",""สงขลา!J237"")"),3655.64)</f>
        <v>3655.64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IFERROR(__xludf.DUMMYFUNCTION("IMPORTRANGE(""https://docs.google.com/spreadsheets/d/1IYY_tgx_IHuhSq3AJ5eI5OnqOPBNLWSHKh2a30DoXe8/edit?usp=sharing"",""สงขลา!I238"")"),210)</f>
        <v>210</v>
      </c>
      <c r="J343" s="194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4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IFERROR(__xludf.DUMMYFUNCTION("IMPORTRANGE(""https://docs.google.com/spreadsheets/d/1IYY_tgx_IHuhSq3AJ5eI5OnqOPBNLWSHKh2a30DoXe8/edit?usp=sharing"",""สงขลา!I240"")"),210)</f>
        <v>210</v>
      </c>
      <c r="J345" s="194">
        <f ca="1">IFERROR(__xludf.DUMMYFUNCTION("IMPORTRANGE(""https://docs.google.com/spreadsheets/d/1IYY_tgx_IHuhSq3AJ5eI5OnqOPBNLWSHKh2a30DoXe8/edit?usp=sharing"",""สงขลา!J240"")"),257)</f>
        <v>257</v>
      </c>
      <c r="K345" s="348">
        <f t="shared" ca="1" si="103"/>
        <v>122.38095238095238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4">
        <f ca="1">IFERROR(__xludf.DUMMYFUNCTION("IMPORTRANGE(""https://docs.google.com/spreadsheets/d/1IYY_tgx_IHuhSq3AJ5eI5OnqOPBNLWSHKh2a30DoXe8/edit?usp=sharing"",""สงขลา!J241"")"),2797.15)</f>
        <v>2797.15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IFERROR(__xludf.DUMMYFUNCTION("IMPORTRANGE(""https://docs.google.com/spreadsheets/d/1IYY_tgx_IHuhSq3AJ5eI5OnqOPBNLWSHKh2a30DoXe8/edit?usp=sharing"",""สงขลา!L242"")"),1642464)</f>
        <v>1642464</v>
      </c>
      <c r="M347" s="364"/>
      <c r="N347" s="364">
        <f ca="1">IFERROR(__xludf.DUMMYFUNCTION("IMPORTRANGE(""https://docs.google.com/spreadsheets/d/1IYY_tgx_IHuhSq3AJ5eI5OnqOPBNLWSHKh2a30DoXe8/edit?usp=sharing"",""สงขลา!M242"")"),1101593.2)</f>
        <v>1101593.2</v>
      </c>
      <c r="O347" s="364">
        <f ca="1">+IF(L347&gt;0,N347*100/L347,0)</f>
        <v>67.069549165156744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IFERROR(__xludf.DUMMYFUNCTION("IMPORTRANGE(""https://docs.google.com/spreadsheets/d/1IYY_tgx_IHuhSq3AJ5eI5OnqOPBNLWSHKh2a30DoXe8/edit?usp=sharing"",""สงขลา!L244"")"),461480)</f>
        <v>461480</v>
      </c>
      <c r="M349" s="379"/>
      <c r="N349" s="379">
        <f ca="1">IFERROR(__xludf.DUMMYFUNCTION("IMPORTRANGE(""https://docs.google.com/spreadsheets/d/1IYY_tgx_IHuhSq3AJ5eI5OnqOPBNLWSHKh2a30DoXe8/edit?usp=sharing"",""สงขลา!M244"")"),200931)</f>
        <v>200931</v>
      </c>
      <c r="O349" s="379">
        <f ca="1">+IF(L349&gt;0,N349*100/L349,0)</f>
        <v>43.540565138250848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IFERROR(__xludf.DUMMYFUNCTION("IMPORTRANGE(""https://docs.google.com/spreadsheets/d/1IYY_tgx_IHuhSq3AJ5eI5OnqOPBNLWSHKh2a30DoXe8/edit?usp=sharing"",""สงขลา!J245"")"),60)</f>
        <v>60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IFERROR(__xludf.DUMMYFUNCTION("IMPORTRANGE(""https://docs.google.com/spreadsheets/d/1IYY_tgx_IHuhSq3AJ5eI5OnqOPBNLWSHKh2a30DoXe8/edit?usp=sharing"",""สงขลา!L246"")"),0)</f>
        <v>0</v>
      </c>
      <c r="M351" s="168"/>
      <c r="N351" s="168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IFERROR(__xludf.DUMMYFUNCTION("IMPORTRANGE(""https://docs.google.com/spreadsheets/d/1IYY_tgx_IHuhSq3AJ5eI5OnqOPBNLWSHKh2a30DoXe8/edit?usp=sharing"",""สงขลา!L247"")"),461480)</f>
        <v>461480</v>
      </c>
      <c r="M352" s="169"/>
      <c r="N352" s="168">
        <f ca="1">IFERROR(__xludf.DUMMYFUNCTION("IMPORTRANGE(""https://docs.google.com/spreadsheets/d/1IYY_tgx_IHuhSq3AJ5eI5OnqOPBNLWSHKh2a30DoXe8/edit?usp=sharing"",""สงขลา!M247"")"),200931)</f>
        <v>200931</v>
      </c>
      <c r="O352" s="169">
        <f t="shared" ca="1" si="105"/>
        <v>43.540565138250848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IFERROR(__xludf.DUMMYFUNCTION("IMPORTRANGE(""https://docs.google.com/spreadsheets/d/1IYY_tgx_IHuhSq3AJ5eI5OnqOPBNLWSHKh2a30DoXe8/edit?usp=sharing"",""สงขลา!L248"")"),0)</f>
        <v>0</v>
      </c>
      <c r="M353" s="175"/>
      <c r="N353" s="175">
        <f ca="1">IFERROR(__xludf.DUMMYFUNCTION("IMPORTRANGE(""https://docs.google.com/spreadsheets/d/1IYY_tgx_IHuhSq3AJ5eI5OnqOPBNLWSHKh2a30DoXe8/edit?usp=sharing"",""สงขลา!M248"")"),0)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IFERROR(__xludf.DUMMYFUNCTION("IMPORTRANGE(""https://docs.google.com/spreadsheets/d/1IYY_tgx_IHuhSq3AJ5eI5OnqOPBNLWSHKh2a30DoXe8/edit?usp=sharing"",""สงขลา!L249"")"),461480)</f>
        <v>461480</v>
      </c>
      <c r="M354" s="175"/>
      <c r="N354" s="172">
        <f ca="1">IFERROR(__xludf.DUMMYFUNCTION("IMPORTRANGE(""https://docs.google.com/spreadsheets/d/1IYY_tgx_IHuhSq3AJ5eI5OnqOPBNLWSHKh2a30DoXe8/edit?usp=sharing"",""สงขลา!M249"")"),200931)</f>
        <v>200931</v>
      </c>
      <c r="O354" s="175">
        <f t="shared" ca="1" si="105"/>
        <v>43.540565138250848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IFERROR(__xludf.DUMMYFUNCTION("IMPORTRANGE(""https://docs.google.com/spreadsheets/d/1IYY_tgx_IHuhSq3AJ5eI5OnqOPBNLWSHKh2a30DoXe8/edit?usp=sharing"",""สงขลา!M250"")"),73200)</f>
        <v>73200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IFERROR(__xludf.DUMMYFUNCTION("IMPORTRANGE(""https://docs.google.com/spreadsheets/d/1IYY_tgx_IHuhSq3AJ5eI5OnqOPBNLWSHKh2a30DoXe8/edit?usp=sharing"",""สงขลา!M251"")"),0)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IFERROR(__xludf.DUMMYFUNCTION("IMPORTRANGE(""https://docs.google.com/spreadsheets/d/1IYY_tgx_IHuhSq3AJ5eI5OnqOPBNLWSHKh2a30DoXe8/edit?usp=sharing"",""สงขลา!M252"")"),95451)</f>
        <v>95451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IFERROR(__xludf.DUMMYFUNCTION("IMPORTRANGE(""https://docs.google.com/spreadsheets/d/1IYY_tgx_IHuhSq3AJ5eI5OnqOPBNLWSHKh2a30DoXe8/edit?usp=sharing"",""สงขลา!M253"")"),32280)</f>
        <v>32280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IFERROR(__xludf.DUMMYFUNCTION("IMPORTRANGE(""https://docs.google.com/spreadsheets/d/1IYY_tgx_IHuhSq3AJ5eI5OnqOPBNLWSHKh2a30DoXe8/edit?usp=sharing"",""สงขลา!J255"")"),0)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IFERROR(__xludf.DUMMYFUNCTION("IMPORTRANGE(""https://docs.google.com/spreadsheets/d/1IYY_tgx_IHuhSq3AJ5eI5OnqOPBNLWSHKh2a30DoXe8/edit?usp=sharing"",""สงขลา!J256"")"),1)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IFERROR(__xludf.DUMMYFUNCTION("IMPORTRANGE(""https://docs.google.com/spreadsheets/d/1IYY_tgx_IHuhSq3AJ5eI5OnqOPBNLWSHKh2a30DoXe8/edit?usp=sharing"",""สงขลา!J257"")"),1)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IFERROR(__xludf.DUMMYFUNCTION("IMPORTRANGE(""https://docs.google.com/spreadsheets/d/1IYY_tgx_IHuhSq3AJ5eI5OnqOPBNLWSHKh2a30DoXe8/edit?usp=sharing"",""สงขลา!J258"")"),1)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IFERROR(__xludf.DUMMYFUNCTION("IMPORTRANGE(""https://docs.google.com/spreadsheets/d/1IYY_tgx_IHuhSq3AJ5eI5OnqOPBNLWSHKh2a30DoXe8/edit?usp=sharing"",""สงขลา!J166"")"),0)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IFERROR(__xludf.DUMMYFUNCTION("IMPORTRANGE(""https://docs.google.com/spreadsheets/d/1IYY_tgx_IHuhSq3AJ5eI5OnqOPBNLWSHKh2a30DoXe8/edit?usp=sharing"",""สงขลา!J166"")"),0)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IFERROR(__xludf.DUMMYFUNCTION("IMPORTRANGE(""https://docs.google.com/spreadsheets/d/1IYY_tgx_IHuhSq3AJ5eI5OnqOPBNLWSHKh2a30DoXe8/edit?usp=sharing"",""สงขลา!J166"")"),0)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IFERROR(__xludf.DUMMYFUNCTION("IMPORTRANGE(""https://docs.google.com/spreadsheets/d/1IYY_tgx_IHuhSq3AJ5eI5OnqOPBNLWSHKh2a30DoXe8/edit?usp=sharing"",""สงขลา!J166"")"),0)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IFERROR(__xludf.DUMMYFUNCTION("IMPORTRANGE(""https://docs.google.com/spreadsheets/d/1IYY_tgx_IHuhSq3AJ5eI5OnqOPBNLWSHKh2a30DoXe8/edit?usp=sharing"",""สงขลา!I263"")"),60)</f>
        <v>60</v>
      </c>
      <c r="J368" s="194">
        <f ca="1">IFERROR(__xludf.DUMMYFUNCTION("IMPORTRANGE(""https://docs.google.com/spreadsheets/d/1IYY_tgx_IHuhSq3AJ5eI5OnqOPBNLWSHKh2a30DoXe8/edit?usp=sharing"",""สงขลา!J263"")"),60)</f>
        <v>60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IFERROR(__xludf.DUMMYFUNCTION("IMPORTRANGE(""https://docs.google.com/spreadsheets/d/1IYY_tgx_IHuhSq3AJ5eI5OnqOPBNLWSHKh2a30DoXe8/edit?usp=sharing"",""สงขลา!I164"")"),0)</f>
        <v>0</v>
      </c>
      <c r="J369" s="210">
        <f ca="1">IFERROR(__xludf.DUMMYFUNCTION("IMPORTRANGE(""https://docs.google.com/spreadsheets/d/1IYY_tgx_IHuhSq3AJ5eI5OnqOPBNLWSHKh2a30DoXe8/edit?usp=sharing"",""สงขลา!J164"")"),0)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IFERROR(__xludf.DUMMYFUNCTION("IMPORTRANGE(""https://docs.google.com/spreadsheets/d/1IYY_tgx_IHuhSq3AJ5eI5OnqOPBNLWSHKh2a30DoXe8/edit?usp=sharing"",""สงขลา!I265"")"),60)</f>
        <v>60</v>
      </c>
      <c r="J370" s="210">
        <f ca="1">IFERROR(__xludf.DUMMYFUNCTION("IMPORTRANGE(""https://docs.google.com/spreadsheets/d/1IYY_tgx_IHuhSq3AJ5eI5OnqOPBNLWSHKh2a30DoXe8/edit?usp=sharing"",""สงขลา!J265"")"),60)</f>
        <v>60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IFERROR(__xludf.DUMMYFUNCTION("IMPORTRANGE(""https://docs.google.com/spreadsheets/d/1IYY_tgx_IHuhSq3AJ5eI5OnqOPBNLWSHKh2a30DoXe8/edit?usp=sharing"",""สงขลา!I164"")"),0)</f>
        <v>0</v>
      </c>
      <c r="J371" s="195">
        <f ca="1">IFERROR(__xludf.DUMMYFUNCTION("IMPORTRANGE(""https://docs.google.com/spreadsheets/d/1IYY_tgx_IHuhSq3AJ5eI5OnqOPBNLWSHKh2a30DoXe8/edit?usp=sharing"",""สงขลา!J164"")"),0)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IFERROR(__xludf.DUMMYFUNCTION("IMPORTRANGE(""https://docs.google.com/spreadsheets/d/1IYY_tgx_IHuhSq3AJ5eI5OnqOPBNLWSHKh2a30DoXe8/edit?usp=sharing"",""สงขลา!I267"")"),60)</f>
        <v>60</v>
      </c>
      <c r="J372" s="195">
        <f ca="1">IFERROR(__xludf.DUMMYFUNCTION("IMPORTRANGE(""https://docs.google.com/spreadsheets/d/1IYY_tgx_IHuhSq3AJ5eI5OnqOPBNLWSHKh2a30DoXe8/edit?usp=sharing"",""สงขลา!J267"")"),60)</f>
        <v>60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IFERROR(__xludf.DUMMYFUNCTION("IMPORTRANGE(""https://docs.google.com/spreadsheets/d/1IYY_tgx_IHuhSq3AJ5eI5OnqOPBNLWSHKh2a30DoXe8/edit?usp=sharing"",""สงขลา!I164"")"),0)</f>
        <v>0</v>
      </c>
      <c r="J373" s="210">
        <f ca="1">IFERROR(__xludf.DUMMYFUNCTION("IMPORTRANGE(""https://docs.google.com/spreadsheets/d/1IYY_tgx_IHuhSq3AJ5eI5OnqOPBNLWSHKh2a30DoXe8/edit?usp=sharing"",""สงขลา!J164"")"),0)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IFERROR(__xludf.DUMMYFUNCTION("IMPORTRANGE(""https://docs.google.com/spreadsheets/d/1IYY_tgx_IHuhSq3AJ5eI5OnqOPBNLWSHKh2a30DoXe8/edit?usp=sharing"",""สงขลา!I164"")"),0)</f>
        <v>0</v>
      </c>
      <c r="J374" s="194">
        <f ca="1">IFERROR(__xludf.DUMMYFUNCTION("IMPORTRANGE(""https://docs.google.com/spreadsheets/d/1IYY_tgx_IHuhSq3AJ5eI5OnqOPBNLWSHKh2a30DoXe8/edit?usp=sharing"",""สงขลา!J164"")"),0)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IFERROR(__xludf.DUMMYFUNCTION("IMPORTRANGE(""https://docs.google.com/spreadsheets/d/1IYY_tgx_IHuhSq3AJ5eI5OnqOPBNLWSHKh2a30DoXe8/edit?usp=sharing"",""สงขลา!I270"")"),230)</f>
        <v>230</v>
      </c>
      <c r="J375" s="194">
        <f ca="1">IFERROR(__xludf.DUMMYFUNCTION("IMPORTRANGE(""https://docs.google.com/spreadsheets/d/1IYY_tgx_IHuhSq3AJ5eI5OnqOPBNLWSHKh2a30DoXe8/edit?usp=sharing"",""สงขลา!J270"")"),0)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IFERROR(__xludf.DUMMYFUNCTION("IMPORTRANGE(""https://docs.google.com/spreadsheets/d/1IYY_tgx_IHuhSq3AJ5eI5OnqOPBNLWSHKh2a30DoXe8/edit?usp=sharing"",""สงขลา!I271"")"),80)</f>
        <v>80</v>
      </c>
      <c r="J376" s="195">
        <f ca="1">IFERROR(__xludf.DUMMYFUNCTION("IMPORTRANGE(""https://docs.google.com/spreadsheets/d/1IYY_tgx_IHuhSq3AJ5eI5OnqOPBNLWSHKh2a30DoXe8/edit?usp=sharing"",""สงขลา!J271"")"),0)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IFERROR(__xludf.DUMMYFUNCTION("IMPORTRANGE(""https://docs.google.com/spreadsheets/d/1IYY_tgx_IHuhSq3AJ5eI5OnqOPBNLWSHKh2a30DoXe8/edit?usp=sharing"",""สงขลา!I272"")"),150)</f>
        <v>150</v>
      </c>
      <c r="J377" s="210">
        <f ca="1">IFERROR(__xludf.DUMMYFUNCTION("IMPORTRANGE(""https://docs.google.com/spreadsheets/d/1IYY_tgx_IHuhSq3AJ5eI5OnqOPBNLWSHKh2a30DoXe8/edit?usp=sharing"",""สงขลา!J272"")"),0)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IFERROR(__xludf.DUMMYFUNCTION("IMPORTRANGE(""https://docs.google.com/spreadsheets/d/1IYY_tgx_IHuhSq3AJ5eI5OnqOPBNLWSHKh2a30DoXe8/edit?usp=sharing"",""สงขลา!J273"")"),0)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IFERROR(__xludf.DUMMYFUNCTION("IMPORTRANGE(""https://docs.google.com/spreadsheets/d/1IYY_tgx_IHuhSq3AJ5eI5OnqOPBNLWSHKh2a30DoXe8/edit?usp=sharing"",""สงขลา!J274"")"),0)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IFERROR(__xludf.DUMMYFUNCTION("IMPORTRANGE(""https://docs.google.com/spreadsheets/d/1IYY_tgx_IHuhSq3AJ5eI5OnqOPBNLWSHKh2a30DoXe8/edit?usp=sharing"",""สงขลา!M275"")"),202080)</f>
        <v>202080</v>
      </c>
      <c r="O380" s="379">
        <f ca="1">+IF(L380&gt;0,N380*100/L380,0)</f>
        <v>97.359799576026205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IFERROR(__xludf.DUMMYFUNCTION("IMPORTRANGE(""https://docs.google.com/spreadsheets/d/1IYY_tgx_IHuhSq3AJ5eI5OnqOPBNLWSHKh2a30DoXe8/edit?usp=sharing"",""สงขลา!L277"")"),0)</f>
        <v>0</v>
      </c>
      <c r="M382" s="168"/>
      <c r="N382" s="168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IFERROR(__xludf.DUMMYFUNCTION("IMPORTRANGE(""https://docs.google.com/spreadsheets/d/1IYY_tgx_IHuhSq3AJ5eI5OnqOPBNLWSHKh2a30DoXe8/edit?usp=sharing"",""สงขลา!M278"")"),202080)</f>
        <v>202080</v>
      </c>
      <c r="O383" s="169">
        <f t="shared" ca="1" si="109"/>
        <v>97.359799576026205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IFERROR(__xludf.DUMMYFUNCTION("IMPORTRANGE(""https://docs.google.com/spreadsheets/d/1IYY_tgx_IHuhSq3AJ5eI5OnqOPBNLWSHKh2a30DoXe8/edit?usp=sharing"",""สงขลา!L279"")"),0)</f>
        <v>0</v>
      </c>
      <c r="M384" s="175"/>
      <c r="N384" s="175">
        <f ca="1">IFERROR(__xludf.DUMMYFUNCTION("IMPORTRANGE(""https://docs.google.com/spreadsheets/d/1IYY_tgx_IHuhSq3AJ5eI5OnqOPBNLWSHKh2a30DoXe8/edit?usp=sharing"",""สงขลา!M279"")"),0)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IFERROR(__xludf.DUMMYFUNCTION("IMPORTRANGE(""https://docs.google.com/spreadsheets/d/1IYY_tgx_IHuhSq3AJ5eI5OnqOPBNLWSHKh2a30DoXe8/edit?usp=sharing"",""สงขลา!L280"")"),207560)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IFERROR(__xludf.DUMMYFUNCTION("IMPORTRANGE(""https://docs.google.com/spreadsheets/d/1IYY_tgx_IHuhSq3AJ5eI5OnqOPBNLWSHKh2a30DoXe8/edit?usp=sharing"",""สงขลา!M280"")"),202080)</f>
        <v>202080</v>
      </c>
      <c r="O385" s="175">
        <f t="shared" ca="1" si="109"/>
        <v>97.359799576026205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IFERROR(__xludf.DUMMYFUNCTION("IMPORTRANGE(""https://docs.google.com/spreadsheets/d/1IYY_tgx_IHuhSq3AJ5eI5OnqOPBNLWSHKh2a30DoXe8/edit?usp=sharing"",""สงขลา!M282"")"),125000)</f>
        <v>125000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IFERROR(__xludf.DUMMYFUNCTION("IMPORTRANGE(""https://docs.google.com/spreadsheets/d/1IYY_tgx_IHuhSq3AJ5eI5OnqOPBNLWSHKh2a30DoXe8/edit?usp=sharing"",""สงขลา!M284"")"),18280)</f>
        <v>18280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IFERROR(__xludf.DUMMYFUNCTION("IMPORTRANGE(""https://docs.google.com/spreadsheets/d/1IYY_tgx_IHuhSq3AJ5eI5OnqOPBNLWSHKh2a30DoXe8/edit?usp=sharing"",""สงขลา!J286"")"),0)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IFERROR(__xludf.DUMMYFUNCTION("IMPORTRANGE(""https://docs.google.com/spreadsheets/d/1IYY_tgx_IHuhSq3AJ5eI5OnqOPBNLWSHKh2a30DoXe8/edit?usp=sharing"",""สงขลา!J287"")"),1)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IFERROR(__xludf.DUMMYFUNCTION("IMPORTRANGE(""https://docs.google.com/spreadsheets/d/1IYY_tgx_IHuhSq3AJ5eI5OnqOPBNLWSHKh2a30DoXe8/edit?usp=sharing"",""สงขลา!J288"")"),1)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IFERROR(__xludf.DUMMYFUNCTION("IMPORTRANGE(""https://docs.google.com/spreadsheets/d/1IYY_tgx_IHuhSq3AJ5eI5OnqOPBNLWSHKh2a30DoXe8/edit?usp=sharing"",""สงขลา!J289"")"),1)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IFERROR(__xludf.DUMMYFUNCTION("IMPORTRANGE(""https://docs.google.com/spreadsheets/d/1IYY_tgx_IHuhSq3AJ5eI5OnqOPBNLWSHKh2a30DoXe8/edit?usp=sharing"",""สงขลา!I291"")"),20)</f>
        <v>20</v>
      </c>
      <c r="J396" s="204">
        <f ca="1">IFERROR(__xludf.DUMMYFUNCTION("IMPORTRANGE(""https://docs.google.com/spreadsheets/d/1IYY_tgx_IHuhSq3AJ5eI5OnqOPBNLWSHKh2a30DoXe8/edit?usp=sharing"",""สงขลา!J291"")"),20)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IFERROR(__xludf.DUMMYFUNCTION("IMPORTRANGE(""https://docs.google.com/spreadsheets/d/1IYY_tgx_IHuhSq3AJ5eI5OnqOPBNLWSHKh2a30DoXe8/edit?usp=sharing"",""สงขลา!I292"")"),200)</f>
        <v>200</v>
      </c>
      <c r="J397" s="204">
        <f ca="1">IFERROR(__xludf.DUMMYFUNCTION("IMPORTRANGE(""https://docs.google.com/spreadsheets/d/1IYY_tgx_IHuhSq3AJ5eI5OnqOPBNLWSHKh2a30DoXe8/edit?usp=sharing"",""สงขลา!J292"")"),0)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IFERROR(__xludf.DUMMYFUNCTION("IMPORTRANGE(""https://docs.google.com/spreadsheets/d/1IYY_tgx_IHuhSq3AJ5eI5OnqOPBNLWSHKh2a30DoXe8/edit?usp=sharing"",""สงขลา!I293"")"),20)</f>
        <v>20</v>
      </c>
      <c r="J398" s="204">
        <f ca="1">IFERROR(__xludf.DUMMYFUNCTION("IMPORTRANGE(""https://docs.google.com/spreadsheets/d/1IYY_tgx_IHuhSq3AJ5eI5OnqOPBNLWSHKh2a30DoXe8/edit?usp=sharing"",""สงขลา!J293"")"),0)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IFERROR(__xludf.DUMMYFUNCTION("IMPORTRANGE(""https://docs.google.com/spreadsheets/d/1IYY_tgx_IHuhSq3AJ5eI5OnqOPBNLWSHKh2a30DoXe8/edit?usp=sharing"",""สงขลา!J294"")"),0)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IFERROR(__xludf.DUMMYFUNCTION("IMPORTRANGE(""https://docs.google.com/spreadsheets/d/1IYY_tgx_IHuhSq3AJ5eI5OnqOPBNLWSHKh2a30DoXe8/edit?usp=sharing"",""สงขลา!J295"")"),0)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IFERROR(__xludf.DUMMYFUNCTION("IMPORTRANGE(""https://docs.google.com/spreadsheets/d/1IYY_tgx_IHuhSq3AJ5eI5OnqOPBNLWSHKh2a30DoXe8/edit?usp=sharing"",""สงขลา!J296"")"),150)</f>
        <v>150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IFERROR(__xludf.DUMMYFUNCTION("IMPORTRANGE(""https://docs.google.com/spreadsheets/d/1IYY_tgx_IHuhSq3AJ5eI5OnqOPBNLWSHKh2a30DoXe8/edit?usp=sharing"",""สงขลา!M296"")"),113600)</f>
        <v>113600</v>
      </c>
      <c r="O401" s="379">
        <f ca="1">+IF(L401&gt;0,N401*100/L401,0)</f>
        <v>71.717171717171723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IFERROR(__xludf.DUMMYFUNCTION("IMPORTRANGE(""https://docs.google.com/spreadsheets/d/1IYY_tgx_IHuhSq3AJ5eI5OnqOPBNLWSHKh2a30DoXe8/edit?usp=sharing"",""สงขลา!J297"")"),50)</f>
        <v>50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IFERROR(__xludf.DUMMYFUNCTION("IMPORTRANGE(""https://docs.google.com/spreadsheets/d/1IYY_tgx_IHuhSq3AJ5eI5OnqOPBNLWSHKh2a30DoXe8/edit?usp=sharing"",""สงขลา!L298"")"),0)</f>
        <v>0</v>
      </c>
      <c r="M403" s="168"/>
      <c r="N403" s="175">
        <f ca="1">IFERROR(__xludf.DUMMYFUNCTION("IMPORTRANGE(""https://docs.google.com/spreadsheets/d/1IYY_tgx_IHuhSq3AJ5eI5OnqOPBNLWSHKh2a30DoXe8/edit?usp=sharing"",""สงขลา!M298"")"),0)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5">
        <f ca="1">IFERROR(__xludf.DUMMYFUNCTION("IMPORTRANGE(""https://docs.google.com/spreadsheets/d/1IYY_tgx_IHuhSq3AJ5eI5OnqOPBNLWSHKh2a30DoXe8/edit?usp=sharing"",""สงขลา!M299"")"),113600)</f>
        <v>113600</v>
      </c>
      <c r="O404" s="175">
        <f t="shared" ca="1" si="112"/>
        <v>71.717171717171723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IFERROR(__xludf.DUMMYFUNCTION("IMPORTRANGE(""https://docs.google.com/spreadsheets/d/1IYY_tgx_IHuhSq3AJ5eI5OnqOPBNLWSHKh2a30DoXe8/edit?usp=sharing"",""สงขลา!L300"")"),0)</f>
        <v>0</v>
      </c>
      <c r="M405" s="175"/>
      <c r="N405" s="175">
        <f ca="1">IFERROR(__xludf.DUMMYFUNCTION("IMPORTRANGE(""https://docs.google.com/spreadsheets/d/1IYY_tgx_IHuhSq3AJ5eI5OnqOPBNLWSHKh2a30DoXe8/edit?usp=sharing"",""สงขลา!M300"")"),0)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IFERROR(__xludf.DUMMYFUNCTION("IMPORTRANGE(""https://docs.google.com/spreadsheets/d/1IYY_tgx_IHuhSq3AJ5eI5OnqOPBNLWSHKh2a30DoXe8/edit?usp=sharing"",""สงขลา!L301"")"),158400)</f>
        <v>158400</v>
      </c>
      <c r="M406" s="175"/>
      <c r="N406" s="175">
        <f ca="1">IFERROR(__xludf.DUMMYFUNCTION("IMPORTRANGE(""https://docs.google.com/spreadsheets/d/1IYY_tgx_IHuhSq3AJ5eI5OnqOPBNLWSHKh2a30DoXe8/edit?usp=sharing"",""สงขลา!M301"")"),113600)</f>
        <v>113600</v>
      </c>
      <c r="O406" s="175">
        <f t="shared" ca="1" si="112"/>
        <v>71.717171717171723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IFERROR(__xludf.DUMMYFUNCTION("IMPORTRANGE(""https://docs.google.com/spreadsheets/d/1IYY_tgx_IHuhSq3AJ5eI5OnqOPBNLWSHKh2a30DoXe8/edit?usp=sharing"",""สงขลา!M302"")"),102600)</f>
        <v>102600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IFERROR(__xludf.DUMMYFUNCTION("IMPORTRANGE(""https://docs.google.com/spreadsheets/d/1IYY_tgx_IHuhSq3AJ5eI5OnqOPBNLWSHKh2a30DoXe8/edit?usp=sharing"",""สงขลา!M303"")"),0)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IFERROR(__xludf.DUMMYFUNCTION("IMPORTRANGE(""https://docs.google.com/spreadsheets/d/1IYY_tgx_IHuhSq3AJ5eI5OnqOPBNLWSHKh2a30DoXe8/edit?usp=sharing"",""สงขลา!M305"")"),11000)</f>
        <v>11000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IFERROR(__xludf.DUMMYFUNCTION("IMPORTRANGE(""https://docs.google.com/spreadsheets/d/1IYY_tgx_IHuhSq3AJ5eI5OnqOPBNLWSHKh2a30DoXe8/edit?usp=sharing"",""สงขลา!J307"")"),0)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IFERROR(__xludf.DUMMYFUNCTION("IMPORTRANGE(""https://docs.google.com/spreadsheets/d/1IYY_tgx_IHuhSq3AJ5eI5OnqOPBNLWSHKh2a30DoXe8/edit?usp=sharing"",""สงขลา!J308"")"),1)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IFERROR(__xludf.DUMMYFUNCTION("IMPORTRANGE(""https://docs.google.com/spreadsheets/d/1IYY_tgx_IHuhSq3AJ5eI5OnqOPBNLWSHKh2a30DoXe8/edit?usp=sharing"",""สงขลา!J309"")"),1)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IFERROR(__xludf.DUMMYFUNCTION("IMPORTRANGE(""https://docs.google.com/spreadsheets/d/1IYY_tgx_IHuhSq3AJ5eI5OnqOPBNLWSHKh2a30DoXe8/edit?usp=sharing"",""สงขลา!J310"")"),1)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IFERROR(__xludf.DUMMYFUNCTION("IMPORTRANGE(""https://docs.google.com/spreadsheets/d/1IYY_tgx_IHuhSq3AJ5eI5OnqOPBNLWSHKh2a30DoXe8/edit?usp=sharing"",""สงขลา!I311"")"),50)</f>
        <v>50</v>
      </c>
      <c r="J416" s="207">
        <f ca="1">IFERROR(__xludf.DUMMYFUNCTION("IMPORTRANGE(""https://docs.google.com/spreadsheets/d/1IYY_tgx_IHuhSq3AJ5eI5OnqOPBNLWSHKh2a30DoXe8/edit?usp=sharing"",""สงขลา!J311"")"),50)</f>
        <v>50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IFERROR(__xludf.DUMMYFUNCTION("IMPORTRANGE(""https://docs.google.com/spreadsheets/d/1IYY_tgx_IHuhSq3AJ5eI5OnqOPBNLWSHKh2a30DoXe8/edit?usp=sharing"",""สงขลา!J316"")"),40)</f>
        <v>40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IFERROR(__xludf.DUMMYFUNCTION("IMPORTRANGE(""https://docs.google.com/spreadsheets/d/1IYY_tgx_IHuhSq3AJ5eI5OnqOPBNLWSHKh2a30DoXe8/edit?usp=sharing"",""สงขลา!J317"")"),120)</f>
        <v>120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IFERROR(__xludf.DUMMYFUNCTION("IMPORTRANGE(""https://docs.google.com/spreadsheets/d/1IYY_tgx_IHuhSq3AJ5eI5OnqOPBNLWSHKh2a30DoXe8/edit?usp=sharing"",""สงขลา!J319"")"),40)</f>
        <v>40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IFERROR(__xludf.DUMMYFUNCTION("IMPORTRANGE(""https://docs.google.com/spreadsheets/d/1IYY_tgx_IHuhSq3AJ5eI5OnqOPBNLWSHKh2a30DoXe8/edit?usp=sharing"",""สงขลา!J328"")"),0)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IFERROR(__xludf.DUMMYFUNCTION("IMPORTRANGE(""https://docs.google.com/spreadsheets/d/1IYY_tgx_IHuhSq3AJ5eI5OnqOPBNLWSHKh2a30DoXe8/edit?usp=sharing"",""สงขลา!J329"")"),0)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IFERROR(__xludf.DUMMYFUNCTION("IMPORTRANGE(""https://docs.google.com/spreadsheets/d/1IYY_tgx_IHuhSq3AJ5eI5OnqOPBNLWSHKh2a30DoXe8/edit?usp=sharing"",""สงขลา!M330"")"),68630)</f>
        <v>68630</v>
      </c>
      <c r="O435" s="418">
        <f t="shared" ref="O435:O439" ca="1" si="114">+IF(L435&gt;0,N435*100/L435,0)</f>
        <v>77.98863636363636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IFERROR(__xludf.DUMMYFUNCTION("IMPORTRANGE(""https://docs.google.com/spreadsheets/d/1IYY_tgx_IHuhSq3AJ5eI5OnqOPBNLWSHKh2a30DoXe8/edit?usp=sharing"",""สงขลา!L331"")"),0)</f>
        <v>0</v>
      </c>
      <c r="M436" s="168"/>
      <c r="N436" s="175">
        <f ca="1">IFERROR(__xludf.DUMMYFUNCTION("IMPORTRANGE(""https://docs.google.com/spreadsheets/d/1IYY_tgx_IHuhSq3AJ5eI5OnqOPBNLWSHKh2a30DoXe8/edit?usp=sharing"",""สงขลา!M331"")"),0)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IFERROR(__xludf.DUMMYFUNCTION("IMPORTRANGE(""https://docs.google.com/spreadsheets/d/1IYY_tgx_IHuhSq3AJ5eI5OnqOPBNLWSHKh2a30DoXe8/edit?usp=sharing"",""สงขลา!L332"")"),88000)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IFERROR(__xludf.DUMMYFUNCTION("IMPORTRANGE(""https://docs.google.com/spreadsheets/d/1IYY_tgx_IHuhSq3AJ5eI5OnqOPBNLWSHKh2a30DoXe8/edit?usp=sharing"",""สงขลา!M332"")"),68630)</f>
        <v>68630</v>
      </c>
      <c r="O437" s="175">
        <f t="shared" ca="1" si="114"/>
        <v>77.98863636363636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IFERROR(__xludf.DUMMYFUNCTION("IMPORTRANGE(""https://docs.google.com/spreadsheets/d/1IYY_tgx_IHuhSq3AJ5eI5OnqOPBNLWSHKh2a30DoXe8/edit?usp=sharing"",""สงขลา!L333"")"),0)</f>
        <v>0</v>
      </c>
      <c r="M438" s="175"/>
      <c r="N438" s="175">
        <f ca="1">IFERROR(__xludf.DUMMYFUNCTION("IMPORTRANGE(""https://docs.google.com/spreadsheets/d/1IYY_tgx_IHuhSq3AJ5eI5OnqOPBNLWSHKh2a30DoXe8/edit?usp=sharing"",""สงขลา!M333"")"),0)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IFERROR(__xludf.DUMMYFUNCTION("IMPORTRANGE(""https://docs.google.com/spreadsheets/d/1IYY_tgx_IHuhSq3AJ5eI5OnqOPBNLWSHKh2a30DoXe8/edit?usp=sharing"",""สงขลา!L334"")"),88000)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IFERROR(__xludf.DUMMYFUNCTION("IMPORTRANGE(""https://docs.google.com/spreadsheets/d/1IYY_tgx_IHuhSq3AJ5eI5OnqOPBNLWSHKh2a30DoXe8/edit?usp=sharing"",""สงขลา!M334"")"),68630)</f>
        <v>68630</v>
      </c>
      <c r="O439" s="175">
        <f t="shared" ca="1" si="114"/>
        <v>77.98863636363636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IFERROR(__xludf.DUMMYFUNCTION("IMPORTRANGE(""https://docs.google.com/spreadsheets/d/1IYY_tgx_IHuhSq3AJ5eI5OnqOPBNLWSHKh2a30DoXe8/edit?usp=sharing"",""สงขลา!M335"")"),38360)</f>
        <v>38360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IFERROR(__xludf.DUMMYFUNCTION("IMPORTRANGE(""https://docs.google.com/spreadsheets/d/1IYY_tgx_IHuhSq3AJ5eI5OnqOPBNLWSHKh2a30DoXe8/edit?usp=sharing"",""สงขลา!M338"")"),30270)</f>
        <v>30270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IFERROR(__xludf.DUMMYFUNCTION("IMPORTRANGE(""https://docs.google.com/spreadsheets/d/1IYY_tgx_IHuhSq3AJ5eI5OnqOPBNLWSHKh2a30DoXe8/edit?usp=sharing"",""สงขลา!J340"")"),0)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IFERROR(__xludf.DUMMYFUNCTION("IMPORTRANGE(""https://docs.google.com/spreadsheets/d/1IYY_tgx_IHuhSq3AJ5eI5OnqOPBNLWSHKh2a30DoXe8/edit?usp=sharing"",""สงขลา!J341"")"),1)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IFERROR(__xludf.DUMMYFUNCTION("IMPORTRANGE(""https://docs.google.com/spreadsheets/d/1IYY_tgx_IHuhSq3AJ5eI5OnqOPBNLWSHKh2a30DoXe8/edit?usp=sharing"",""สงขลา!J342"")"),1)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IFERROR(__xludf.DUMMYFUNCTION("IMPORTRANGE(""https://docs.google.com/spreadsheets/d/1IYY_tgx_IHuhSq3AJ5eI5OnqOPBNLWSHKh2a30DoXe8/edit?usp=sharing"",""สงขลา!J343"")"),1)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7">
        <f ca="1">IFERROR(__xludf.DUMMYFUNCTION("IMPORTRANGE(""https://docs.google.com/spreadsheets/d/1IYY_tgx_IHuhSq3AJ5eI5OnqOPBNLWSHKh2a30DoXe8/edit?usp=sharing"",""สงขลา!J344"")"),15)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5">
        <f ca="1">IFERROR(__xludf.DUMMYFUNCTION("IMPORTRANGE(""https://docs.google.com/spreadsheets/d/1IYY_tgx_IHuhSq3AJ5eI5OnqOPBNLWSHKh2a30DoXe8/edit?usp=sharing"",""สงขลา!J345"")"),15)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4">
        <f ca="1">IFERROR(__xludf.DUMMYFUNCTION("IMPORTRANGE(""https://docs.google.com/spreadsheets/d/1IYY_tgx_IHuhSq3AJ5eI5OnqOPBNLWSHKh2a30DoXe8/edit?usp=sharing"",""สงขลา!J346"")"),0)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IFERROR(__xludf.DUMMYFUNCTION("IMPORTRANGE(""https://docs.google.com/spreadsheets/d/1IYY_tgx_IHuhSq3AJ5eI5OnqOPBNLWSHKh2a30DoXe8/edit?usp=sharing"",""สงขลา!I347"")"),0)</f>
        <v>0</v>
      </c>
      <c r="J452" s="194">
        <f ca="1">IFERROR(__xludf.DUMMYFUNCTION("IMPORTRANGE(""https://docs.google.com/spreadsheets/d/1IYY_tgx_IHuhSq3AJ5eI5OnqOPBNLWSHKh2a30DoXe8/edit?usp=sharing"",""สงขลา!J347"")"),0)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IFERROR(__xludf.DUMMYFUNCTION("IMPORTRANGE(""https://docs.google.com/spreadsheets/d/1IYY_tgx_IHuhSq3AJ5eI5OnqOPBNLWSHKh2a30DoXe8/edit?usp=sharing"",""สงขลา!J348"")"),0)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IFERROR(__xludf.DUMMYFUNCTION("IMPORTRANGE(""https://docs.google.com/spreadsheets/d/1IYY_tgx_IHuhSq3AJ5eI5OnqOPBNLWSHKh2a30DoXe8/edit?usp=sharing"",""สงขลา!J349"")"),0)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IFERROR(__xludf.DUMMYFUNCTION("IMPORTRANGE(""https://docs.google.com/spreadsheets/d/1IYY_tgx_IHuhSq3AJ5eI5OnqOPBNLWSHKh2a30DoXe8/edit?usp=sharing"",""สงขลา!J350"")"),27425)</f>
        <v>27425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IFERROR(__xludf.DUMMYFUNCTION("IMPORTRANGE(""https://docs.google.com/spreadsheets/d/1IYY_tgx_IHuhSq3AJ5eI5OnqOPBNLWSHKh2a30DoXe8/edit?usp=sharing"",""สงขลา!L350"")"),189614)</f>
        <v>189614</v>
      </c>
      <c r="M455" s="379"/>
      <c r="N455" s="379">
        <f ca="1">IFERROR(__xludf.DUMMYFUNCTION("IMPORTRANGE(""https://docs.google.com/spreadsheets/d/1IYY_tgx_IHuhSq3AJ5eI5OnqOPBNLWSHKh2a30DoXe8/edit?usp=sharing"",""สงขลา!M350"")"),132027.2)</f>
        <v>132027.20000000001</v>
      </c>
      <c r="O455" s="379">
        <f t="shared" ref="O455:O459" ca="1" si="116">+IF(L455&gt;0,N455*100/L455,0)</f>
        <v>69.629457740462215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IFERROR(__xludf.DUMMYFUNCTION("IMPORTRANGE(""https://docs.google.com/spreadsheets/d/1IYY_tgx_IHuhSq3AJ5eI5OnqOPBNLWSHKh2a30DoXe8/edit?usp=sharing"",""สงขลา!L351"")"),0)</f>
        <v>0</v>
      </c>
      <c r="M456" s="168"/>
      <c r="N456" s="175">
        <f ca="1">IFERROR(__xludf.DUMMYFUNCTION("IMPORTRANGE(""https://docs.google.com/spreadsheets/d/1IYY_tgx_IHuhSq3AJ5eI5OnqOPBNLWSHKh2a30DoXe8/edit?usp=sharing"",""สงขลา!M351"")"),0)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IFERROR(__xludf.DUMMYFUNCTION("IMPORTRANGE(""https://docs.google.com/spreadsheets/d/1IYY_tgx_IHuhSq3AJ5eI5OnqOPBNLWSHKh2a30DoXe8/edit?usp=sharing"",""สงขลา!L352"")"),189614)</f>
        <v>189614</v>
      </c>
      <c r="M457" s="169"/>
      <c r="N457" s="175">
        <f ca="1">IFERROR(__xludf.DUMMYFUNCTION("IMPORTRANGE(""https://docs.google.com/spreadsheets/d/1IYY_tgx_IHuhSq3AJ5eI5OnqOPBNLWSHKh2a30DoXe8/edit?usp=sharing"",""สงขลา!M352"")"),132027.2)</f>
        <v>132027.20000000001</v>
      </c>
      <c r="O457" s="175">
        <f t="shared" ca="1" si="116"/>
        <v>69.629457740462215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IFERROR(__xludf.DUMMYFUNCTION("IMPORTRANGE(""https://docs.google.com/spreadsheets/d/1IYY_tgx_IHuhSq3AJ5eI5OnqOPBNLWSHKh2a30DoXe8/edit?usp=sharing"",""สงขลา!L353"")"),0)</f>
        <v>0</v>
      </c>
      <c r="M458" s="175"/>
      <c r="N458" s="175">
        <f ca="1">IFERROR(__xludf.DUMMYFUNCTION("IMPORTRANGE(""https://docs.google.com/spreadsheets/d/1IYY_tgx_IHuhSq3AJ5eI5OnqOPBNLWSHKh2a30DoXe8/edit?usp=sharing"",""สงขลา!M353"")"),0)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IFERROR(__xludf.DUMMYFUNCTION("IMPORTRANGE(""https://docs.google.com/spreadsheets/d/1IYY_tgx_IHuhSq3AJ5eI5OnqOPBNLWSHKh2a30DoXe8/edit?usp=sharing"",""สงขลา!L354"")"),189614)</f>
        <v>189614</v>
      </c>
      <c r="M459" s="175"/>
      <c r="N459" s="175">
        <f ca="1">IFERROR(__xludf.DUMMYFUNCTION("IMPORTRANGE(""https://docs.google.com/spreadsheets/d/1IYY_tgx_IHuhSq3AJ5eI5OnqOPBNLWSHKh2a30DoXe8/edit?usp=sharing"",""สงขลา!M354"")"),132027.2)</f>
        <v>132027.20000000001</v>
      </c>
      <c r="O459" s="175">
        <f t="shared" ca="1" si="116"/>
        <v>69.629457740462215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IFERROR(__xludf.DUMMYFUNCTION("IMPORTRANGE(""https://docs.google.com/spreadsheets/d/1IYY_tgx_IHuhSq3AJ5eI5OnqOPBNLWSHKh2a30DoXe8/edit?usp=sharing"",""สงขลา!M355"")"),0)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IFERROR(__xludf.DUMMYFUNCTION("IMPORTRANGE(""https://docs.google.com/spreadsheets/d/1IYY_tgx_IHuhSq3AJ5eI5OnqOPBNLWSHKh2a30DoXe8/edit?usp=sharing"",""สงขลา!M356"")"),0)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IFERROR(__xludf.DUMMYFUNCTION("IMPORTRANGE(""https://docs.google.com/spreadsheets/d/1IYY_tgx_IHuhSq3AJ5eI5OnqOPBNLWSHKh2a30DoXe8/edit?usp=sharing"",""สงขลา!M358"")"),132027.2)</f>
        <v>132027.20000000001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IFERROR(__xludf.DUMMYFUNCTION("IMPORTRANGE(""https://docs.google.com/spreadsheets/d/1IYY_tgx_IHuhSq3AJ5eI5OnqOPBNLWSHKh2a30DoXe8/edit?usp=sharing"",""สงขลา!I359"")"),27425)</f>
        <v>27425</v>
      </c>
      <c r="J464" s="273">
        <f ca="1">IFERROR(__xludf.DUMMYFUNCTION("IMPORTRANGE(""https://docs.google.com/spreadsheets/d/1IYY_tgx_IHuhSq3AJ5eI5OnqOPBNLWSHKh2a30DoXe8/edit?usp=sharing"",""สงขลา!J359"")"),27425)</f>
        <v>27425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IFERROR(__xludf.DUMMYFUNCTION("IMPORTRANGE(""https://docs.google.com/spreadsheets/d/1IYY_tgx_IHuhSq3AJ5eI5OnqOPBNLWSHKh2a30DoXe8/edit?usp=sharing"",""สงขลา!J360"")"),28114)</f>
        <v>28114</v>
      </c>
      <c r="K465" s="208">
        <f t="shared" ca="1" si="117"/>
        <v>102.51230628988149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IFERROR(__xludf.DUMMYFUNCTION("IMPORTRANGE(""https://docs.google.com/spreadsheets/d/1IYY_tgx_IHuhSq3AJ5eI5OnqOPBNLWSHKh2a30DoXe8/edit?usp=sharing"",""สงขลา!I362"")"),0)</f>
        <v>0</v>
      </c>
      <c r="J467" s="195">
        <f ca="1">IFERROR(__xludf.DUMMYFUNCTION("IMPORTRANGE(""https://docs.google.com/spreadsheets/d/1IYY_tgx_IHuhSq3AJ5eI5OnqOPBNLWSHKh2a30DoXe8/edit?usp=sharing"",""สงขลา!J362"")"),26216)</f>
        <v>26216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IFERROR(__xludf.DUMMYFUNCTION("IMPORTRANGE(""https://docs.google.com/spreadsheets/d/1IYY_tgx_IHuhSq3AJ5eI5OnqOPBNLWSHKh2a30DoXe8/edit?usp=sharing"",""สงขลา!I363"")"),0)</f>
        <v>0</v>
      </c>
      <c r="J468" s="195">
        <f ca="1">IFERROR(__xludf.DUMMYFUNCTION("IMPORTRANGE(""https://docs.google.com/spreadsheets/d/1IYY_tgx_IHuhSq3AJ5eI5OnqOPBNLWSHKh2a30DoXe8/edit?usp=sharing"",""สงขลา!J363"")"),3049)</f>
        <v>3049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IFERROR(__xludf.DUMMYFUNCTION("IMPORTRANGE(""https://docs.google.com/spreadsheets/d/1IYY_tgx_IHuhSq3AJ5eI5OnqOPBNLWSHKh2a30DoXe8/edit?usp=sharing"",""สงขลา!I364"")"),0)</f>
        <v>0</v>
      </c>
      <c r="J469" s="195">
        <f ca="1">IFERROR(__xludf.DUMMYFUNCTION("IMPORTRANGE(""https://docs.google.com/spreadsheets/d/1IYY_tgx_IHuhSq3AJ5eI5OnqOPBNLWSHKh2a30DoXe8/edit?usp=sharing"",""สงขลา!J364"")"),1181)</f>
        <v>1181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IFERROR(__xludf.DUMMYFUNCTION("IMPORTRANGE(""https://docs.google.com/spreadsheets/d/1IYY_tgx_IHuhSq3AJ5eI5OnqOPBNLWSHKh2a30DoXe8/edit?usp=sharing"",""สงขลา!I365"")"),0)</f>
        <v>0</v>
      </c>
      <c r="J470" s="195">
        <f ca="1">IFERROR(__xludf.DUMMYFUNCTION("IMPORTRANGE(""https://docs.google.com/spreadsheets/d/1IYY_tgx_IHuhSq3AJ5eI5OnqOPBNLWSHKh2a30DoXe8/edit?usp=sharing"",""สงขลา!J365"")"),132)</f>
        <v>132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IFERROR(__xludf.DUMMYFUNCTION("IMPORTRANGE(""https://docs.google.com/spreadsheets/d/1IYY_tgx_IHuhSq3AJ5eI5OnqOPBNLWSHKh2a30DoXe8/edit?usp=sharing"",""สงขลา!I366"")"),0)</f>
        <v>0</v>
      </c>
      <c r="J471" s="195">
        <f ca="1">IFERROR(__xludf.DUMMYFUNCTION("IMPORTRANGE(""https://docs.google.com/spreadsheets/d/1IYY_tgx_IHuhSq3AJ5eI5OnqOPBNLWSHKh2a30DoXe8/edit?usp=sharing"",""สงขลา!J366"")"),717)</f>
        <v>717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IFERROR(__xludf.DUMMYFUNCTION("IMPORTRANGE(""https://docs.google.com/spreadsheets/d/1IYY_tgx_IHuhSq3AJ5eI5OnqOPBNLWSHKh2a30DoXe8/edit?usp=sharing"",""สงขลา!I367"")"),0)</f>
        <v>0</v>
      </c>
      <c r="J472" s="195">
        <f ca="1">IFERROR(__xludf.DUMMYFUNCTION("IMPORTRANGE(""https://docs.google.com/spreadsheets/d/1IYY_tgx_IHuhSq3AJ5eI5OnqOPBNLWSHKh2a30DoXe8/edit?usp=sharing"",""สงขลา!J367"")"),70)</f>
        <v>70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IFERROR(__xludf.DUMMYFUNCTION("IMPORTRANGE(""https://docs.google.com/spreadsheets/d/1IYY_tgx_IHuhSq3AJ5eI5OnqOPBNLWSHKh2a30DoXe8/edit?usp=sharing"",""สงขลา!J368"")"),27426)</f>
        <v>27426</v>
      </c>
      <c r="K473" s="208">
        <f t="shared" ca="1" si="117"/>
        <v>100.00364630811303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IFERROR(__xludf.DUMMYFUNCTION("IMPORTRANGE(""https://docs.google.com/spreadsheets/d/1IYY_tgx_IHuhSq3AJ5eI5OnqOPBNLWSHKh2a30DoXe8/edit?usp=sharing"",""สงขลา!J369"")"),3251)</f>
        <v>3251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IFERROR(__xludf.DUMMYFUNCTION("IMPORTRANGE(""https://docs.google.com/spreadsheets/d/1IYY_tgx_IHuhSq3AJ5eI5OnqOPBNLWSHKh2a30DoXe8/edit?usp=sharing"",""สงขลา!I370"")"),0)</f>
        <v>0</v>
      </c>
      <c r="J475" s="195">
        <f ca="1">IFERROR(__xludf.DUMMYFUNCTION("IMPORTRANGE(""https://docs.google.com/spreadsheets/d/1IYY_tgx_IHuhSq3AJ5eI5OnqOPBNLWSHKh2a30DoXe8/edit?usp=sharing"",""สงขลา!J370"")"),25991)</f>
        <v>25991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IFERROR(__xludf.DUMMYFUNCTION("IMPORTRANGE(""https://docs.google.com/spreadsheets/d/1IYY_tgx_IHuhSq3AJ5eI5OnqOPBNLWSHKh2a30DoXe8/edit?usp=sharing"",""สงขลา!I371"")"),0)</f>
        <v>0</v>
      </c>
      <c r="J476" s="195">
        <f ca="1">IFERROR(__xludf.DUMMYFUNCTION("IMPORTRANGE(""https://docs.google.com/spreadsheets/d/1IYY_tgx_IHuhSq3AJ5eI5OnqOPBNLWSHKh2a30DoXe8/edit?usp=sharing"",""สงขลา!J371"")"),3111)</f>
        <v>3111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IFERROR(__xludf.DUMMYFUNCTION("IMPORTRANGE(""https://docs.google.com/spreadsheets/d/1IYY_tgx_IHuhSq3AJ5eI5OnqOPBNLWSHKh2a30DoXe8/edit?usp=sharing"",""สงขลา!I372"")"),0)</f>
        <v>0</v>
      </c>
      <c r="J477" s="195">
        <f ca="1">IFERROR(__xludf.DUMMYFUNCTION("IMPORTRANGE(""https://docs.google.com/spreadsheets/d/1IYY_tgx_IHuhSq3AJ5eI5OnqOPBNLWSHKh2a30DoXe8/edit?usp=sharing"",""สงขลา!J372"")"),698)</f>
        <v>698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IFERROR(__xludf.DUMMYFUNCTION("IMPORTRANGE(""https://docs.google.com/spreadsheets/d/1IYY_tgx_IHuhSq3AJ5eI5OnqOPBNLWSHKh2a30DoXe8/edit?usp=sharing"",""สงขลา!I373"")"),0)</f>
        <v>0</v>
      </c>
      <c r="J478" s="195">
        <f ca="1">IFERROR(__xludf.DUMMYFUNCTION("IMPORTRANGE(""https://docs.google.com/spreadsheets/d/1IYY_tgx_IHuhSq3AJ5eI5OnqOPBNLWSHKh2a30DoXe8/edit?usp=sharing"",""สงขลา!J373"")"),67)</f>
        <v>67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IFERROR(__xludf.DUMMYFUNCTION("IMPORTRANGE(""https://docs.google.com/spreadsheets/d/1IYY_tgx_IHuhSq3AJ5eI5OnqOPBNLWSHKh2a30DoXe8/edit?usp=sharing"",""สงขลา!I374"")"),0)</f>
        <v>0</v>
      </c>
      <c r="J479" s="195">
        <f ca="1">IFERROR(__xludf.DUMMYFUNCTION("IMPORTRANGE(""https://docs.google.com/spreadsheets/d/1IYY_tgx_IHuhSq3AJ5eI5OnqOPBNLWSHKh2a30DoXe8/edit?usp=sharing"",""สงขลา!J374"")"),737)</f>
        <v>737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IFERROR(__xludf.DUMMYFUNCTION("IMPORTRANGE(""https://docs.google.com/spreadsheets/d/1IYY_tgx_IHuhSq3AJ5eI5OnqOPBNLWSHKh2a30DoXe8/edit?usp=sharing"",""สงขลา!I375"")"),0)</f>
        <v>0</v>
      </c>
      <c r="J480" s="195">
        <f ca="1">IFERROR(__xludf.DUMMYFUNCTION("IMPORTRANGE(""https://docs.google.com/spreadsheets/d/1IYY_tgx_IHuhSq3AJ5eI5OnqOPBNLWSHKh2a30DoXe8/edit?usp=sharing"",""สงขลา!J375"")"),73)</f>
        <v>73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IFERROR(__xludf.DUMMYFUNCTION("IMPORTRANGE(""https://docs.google.com/spreadsheets/d/1IYY_tgx_IHuhSq3AJ5eI5OnqOPBNLWSHKh2a30DoXe8/edit?usp=sharing"",""สงขลา!J376"")"),27425)</f>
        <v>27425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IFERROR(__xludf.DUMMYFUNCTION("IMPORTRANGE(""https://docs.google.com/spreadsheets/d/1IYY_tgx_IHuhSq3AJ5eI5OnqOPBNLWSHKh2a30DoXe8/edit?usp=sharing"",""สงขลา!J377"")"),3251)</f>
        <v>3251</v>
      </c>
      <c r="K482" s="167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IFERROR(__xludf.DUMMYFUNCTION("IMPORTRANGE(""https://docs.google.com/spreadsheets/d/1IYY_tgx_IHuhSq3AJ5eI5OnqOPBNLWSHKh2a30DoXe8/edit?usp=sharing"",""สงขลา!I378"")"),0)</f>
        <v>0</v>
      </c>
      <c r="J483" s="195">
        <f ca="1">IFERROR(__xludf.DUMMYFUNCTION("IMPORTRANGE(""https://docs.google.com/spreadsheets/d/1IYY_tgx_IHuhSq3AJ5eI5OnqOPBNLWSHKh2a30DoXe8/edit?usp=sharing"",""สงขลา!J378"")"),26216)</f>
        <v>26216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IFERROR(__xludf.DUMMYFUNCTION("IMPORTRANGE(""https://docs.google.com/spreadsheets/d/1IYY_tgx_IHuhSq3AJ5eI5OnqOPBNLWSHKh2a30DoXe8/edit?usp=sharing"",""สงขลา!I379"")"),0)</f>
        <v>0</v>
      </c>
      <c r="J484" s="195">
        <f ca="1">IFERROR(__xludf.DUMMYFUNCTION("IMPORTRANGE(""https://docs.google.com/spreadsheets/d/1IYY_tgx_IHuhSq3AJ5eI5OnqOPBNLWSHKh2a30DoXe8/edit?usp=sharing"",""สงขลา!J379"")"),3128)</f>
        <v>3128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IFERROR(__xludf.DUMMYFUNCTION("IMPORTRANGE(""https://docs.google.com/spreadsheets/d/1IYY_tgx_IHuhSq3AJ5eI5OnqOPBNLWSHKh2a30DoXe8/edit?usp=sharing"",""สงขลา!I380"")"),0)</f>
        <v>0</v>
      </c>
      <c r="J485" s="195">
        <f ca="1">IFERROR(__xludf.DUMMYFUNCTION("IMPORTRANGE(""https://docs.google.com/spreadsheets/d/1IYY_tgx_IHuhSq3AJ5eI5OnqOPBNLWSHKh2a30DoXe8/edit?usp=sharing"",""สงขลา!J380"")"),0)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IFERROR(__xludf.DUMMYFUNCTION("IMPORTRANGE(""https://docs.google.com/spreadsheets/d/1IYY_tgx_IHuhSq3AJ5eI5OnqOPBNLWSHKh2a30DoXe8/edit?usp=sharing"",""สงขลา!I381"")"),0)</f>
        <v>0</v>
      </c>
      <c r="J486" s="195">
        <f ca="1">IFERROR(__xludf.DUMMYFUNCTION("IMPORTRANGE(""https://docs.google.com/spreadsheets/d/1IYY_tgx_IHuhSq3AJ5eI5OnqOPBNLWSHKh2a30DoXe8/edit?usp=sharing"",""สงขลา!J381"")"),0)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IFERROR(__xludf.DUMMYFUNCTION("IMPORTRANGE(""https://docs.google.com/spreadsheets/d/1IYY_tgx_IHuhSq3AJ5eI5OnqOPBNLWSHKh2a30DoXe8/edit?usp=sharing"",""สงขลา!J382"")"),750)</f>
        <v>750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IFERROR(__xludf.DUMMYFUNCTION("IMPORTRANGE(""https://docs.google.com/spreadsheets/d/1IYY_tgx_IHuhSq3AJ5eI5OnqOPBNLWSHKh2a30DoXe8/edit?usp=sharing"",""สงขลา!J383"")"),75)</f>
        <v>75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IFERROR(__xludf.DUMMYFUNCTION("IMPORTRANGE(""https://docs.google.com/spreadsheets/d/1IYY_tgx_IHuhSq3AJ5eI5OnqOPBNLWSHKh2a30DoXe8/edit?usp=sharing"",""สงขลา!I384"")"),0)</f>
        <v>0</v>
      </c>
      <c r="J489" s="195">
        <f ca="1">IFERROR(__xludf.DUMMYFUNCTION("IMPORTRANGE(""https://docs.google.com/spreadsheets/d/1IYY_tgx_IHuhSq3AJ5eI5OnqOPBNLWSHKh2a30DoXe8/edit?usp=sharing"",""สงขลา!J384"")"),750)</f>
        <v>750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IFERROR(__xludf.DUMMYFUNCTION("IMPORTRANGE(""https://docs.google.com/spreadsheets/d/1IYY_tgx_IHuhSq3AJ5eI5OnqOPBNLWSHKh2a30DoXe8/edit?usp=sharing"",""สงขลา!I385"")"),0)</f>
        <v>0</v>
      </c>
      <c r="J490" s="195">
        <f ca="1">IFERROR(__xludf.DUMMYFUNCTION("IMPORTRANGE(""https://docs.google.com/spreadsheets/d/1IYY_tgx_IHuhSq3AJ5eI5OnqOPBNLWSHKh2a30DoXe8/edit?usp=sharing"",""สงขลา!J385"")"),75)</f>
        <v>75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IFERROR(__xludf.DUMMYFUNCTION("IMPORTRANGE(""https://docs.google.com/spreadsheets/d/1IYY_tgx_IHuhSq3AJ5eI5OnqOPBNLWSHKh2a30DoXe8/edit?usp=sharing"",""สงขลา!I386"")"),0)</f>
        <v>0</v>
      </c>
      <c r="J491" s="195">
        <f ca="1">IFERROR(__xludf.DUMMYFUNCTION("IMPORTRANGE(""https://docs.google.com/spreadsheets/d/1IYY_tgx_IHuhSq3AJ5eI5OnqOPBNLWSHKh2a30DoXe8/edit?usp=sharing"",""สงขลา!J386"")"),0)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IFERROR(__xludf.DUMMYFUNCTION("IMPORTRANGE(""https://docs.google.com/spreadsheets/d/1IYY_tgx_IHuhSq3AJ5eI5OnqOPBNLWSHKh2a30DoXe8/edit?usp=sharing"",""สงขลา!I387"")"),0)</f>
        <v>0</v>
      </c>
      <c r="J492" s="195">
        <f ca="1">IFERROR(__xludf.DUMMYFUNCTION("IMPORTRANGE(""https://docs.google.com/spreadsheets/d/1IYY_tgx_IHuhSq3AJ5eI5OnqOPBNLWSHKh2a30DoXe8/edit?usp=sharing"",""สงขลา!J387"")"),0)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IFERROR(__xludf.DUMMYFUNCTION("IMPORTRANGE(""https://docs.google.com/spreadsheets/d/1IYY_tgx_IHuhSq3AJ5eI5OnqOPBNLWSHKh2a30DoXe8/edit?usp=sharing"",""สงขลา!I388"")"),0)</f>
        <v>0</v>
      </c>
      <c r="J493" s="195">
        <f ca="1">IFERROR(__xludf.DUMMYFUNCTION("IMPORTRANGE(""https://docs.google.com/spreadsheets/d/1IYY_tgx_IHuhSq3AJ5eI5OnqOPBNLWSHKh2a30DoXe8/edit?usp=sharing"",""สงขลา!J388"")"),459)</f>
        <v>459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IFERROR(__xludf.DUMMYFUNCTION("IMPORTRANGE(""https://docs.google.com/spreadsheets/d/1IYY_tgx_IHuhSq3AJ5eI5OnqOPBNLWSHKh2a30DoXe8/edit?usp=sharing"",""สงขลา!J389"")"),48)</f>
        <v>48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IFERROR(__xludf.DUMMYFUNCTION("IMPORTRANGE(""https://docs.google.com/spreadsheets/d/1IYY_tgx_IHuhSq3AJ5eI5OnqOPBNLWSHKh2a30DoXe8/edit?usp=sharing"",""สงขลา!J392"")"),293)</f>
        <v>293</v>
      </c>
      <c r="K497" s="450">
        <f t="shared" ca="1" si="117"/>
        <v>100.34246575342466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IFERROR(__xludf.DUMMYFUNCTION("IMPORTRANGE(""https://docs.google.com/spreadsheets/d/1IYY_tgx_IHuhSq3AJ5eI5OnqOPBNLWSHKh2a30DoXe8/edit?usp=sharing"",""สงขลา!J393"")"),293)</f>
        <v>293</v>
      </c>
      <c r="K498" s="208">
        <f t="shared" ca="1" si="117"/>
        <v>100.34246575342466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IFERROR(__xludf.DUMMYFUNCTION("IMPORTRANGE(""https://docs.google.com/spreadsheets/d/1IYY_tgx_IHuhSq3AJ5eI5OnqOPBNLWSHKh2a30DoXe8/edit?usp=sharing"",""สงขลา!J394"")"),26)</f>
        <v>26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IFERROR(__xludf.DUMMYFUNCTION("IMPORTRANGE(""https://docs.google.com/spreadsheets/d/1IYY_tgx_IHuhSq3AJ5eI5OnqOPBNLWSHKh2a30DoXe8/edit?usp=sharing"",""สงขลา!I395"")"),0)</f>
        <v>0</v>
      </c>
      <c r="J500" s="166">
        <f ca="1">IFERROR(__xludf.DUMMYFUNCTION("IMPORTRANGE(""https://docs.google.com/spreadsheets/d/1IYY_tgx_IHuhSq3AJ5eI5OnqOPBNLWSHKh2a30DoXe8/edit?usp=sharing"",""สงขลา!J395"")"),255)</f>
        <v>255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IFERROR(__xludf.DUMMYFUNCTION("IMPORTRANGE(""https://docs.google.com/spreadsheets/d/1IYY_tgx_IHuhSq3AJ5eI5OnqOPBNLWSHKh2a30DoXe8/edit?usp=sharing"",""สงขลา!I396"")"),0)</f>
        <v>0</v>
      </c>
      <c r="J501" s="166">
        <f ca="1">IFERROR(__xludf.DUMMYFUNCTION("IMPORTRANGE(""https://docs.google.com/spreadsheets/d/1IYY_tgx_IHuhSq3AJ5eI5OnqOPBNLWSHKh2a30DoXe8/edit?usp=sharing"",""สงขลา!J396"")"),21)</f>
        <v>21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IFERROR(__xludf.DUMMYFUNCTION("IMPORTRANGE(""https://docs.google.com/spreadsheets/d/1IYY_tgx_IHuhSq3AJ5eI5OnqOPBNLWSHKh2a30DoXe8/edit?usp=sharing"",""สงขลา!I397"")"),0)</f>
        <v>0</v>
      </c>
      <c r="J502" s="195">
        <f ca="1">IFERROR(__xludf.DUMMYFUNCTION("IMPORTRANGE(""https://docs.google.com/spreadsheets/d/1IYY_tgx_IHuhSq3AJ5eI5OnqOPBNLWSHKh2a30DoXe8/edit?usp=sharing"",""สงขลา!J397"")"),156)</f>
        <v>156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IFERROR(__xludf.DUMMYFUNCTION("IMPORTRANGE(""https://docs.google.com/spreadsheets/d/1IYY_tgx_IHuhSq3AJ5eI5OnqOPBNLWSHKh2a30DoXe8/edit?usp=sharing"",""สงขลา!I398"")"),0)</f>
        <v>0</v>
      </c>
      <c r="J503" s="204">
        <f ca="1">IFERROR(__xludf.DUMMYFUNCTION("IMPORTRANGE(""https://docs.google.com/spreadsheets/d/1IYY_tgx_IHuhSq3AJ5eI5OnqOPBNLWSHKh2a30DoXe8/edit?usp=sharing"",""สงขลา!J398"")"),13)</f>
        <v>13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IFERROR(__xludf.DUMMYFUNCTION("IMPORTRANGE(""https://docs.google.com/spreadsheets/d/1IYY_tgx_IHuhSq3AJ5eI5OnqOPBNLWSHKh2a30DoXe8/edit?usp=sharing"",""สงขลา!I399"")"),0)</f>
        <v>0</v>
      </c>
      <c r="J504" s="195">
        <f ca="1">IFERROR(__xludf.DUMMYFUNCTION("IMPORTRANGE(""https://docs.google.com/spreadsheets/d/1IYY_tgx_IHuhSq3AJ5eI5OnqOPBNLWSHKh2a30DoXe8/edit?usp=sharing"",""สงขลา!J399"")"),99)</f>
        <v>99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IFERROR(__xludf.DUMMYFUNCTION("IMPORTRANGE(""https://docs.google.com/spreadsheets/d/1IYY_tgx_IHuhSq3AJ5eI5OnqOPBNLWSHKh2a30DoXe8/edit?usp=sharing"",""สงขลา!I400"")"),0)</f>
        <v>0</v>
      </c>
      <c r="J505" s="204">
        <f ca="1">IFERROR(__xludf.DUMMYFUNCTION("IMPORTRANGE(""https://docs.google.com/spreadsheets/d/1IYY_tgx_IHuhSq3AJ5eI5OnqOPBNLWSHKh2a30DoXe8/edit?usp=sharing"",""สงขลา!J400"")"),8)</f>
        <v>8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IFERROR(__xludf.DUMMYFUNCTION("IMPORTRANGE(""https://docs.google.com/spreadsheets/d/1IYY_tgx_IHuhSq3AJ5eI5OnqOPBNLWSHKh2a30DoXe8/edit?usp=sharing"",""สงขลา!I401"")"),0)</f>
        <v>0</v>
      </c>
      <c r="J506" s="195">
        <f ca="1">IFERROR(__xludf.DUMMYFUNCTION("IMPORTRANGE(""https://docs.google.com/spreadsheets/d/1IYY_tgx_IHuhSq3AJ5eI5OnqOPBNLWSHKh2a30DoXe8/edit?usp=sharing"",""สงขลา!J401"")"),0)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IFERROR(__xludf.DUMMYFUNCTION("IMPORTRANGE(""https://docs.google.com/spreadsheets/d/1IYY_tgx_IHuhSq3AJ5eI5OnqOPBNLWSHKh2a30DoXe8/edit?usp=sharing"",""สงขลา!I402"")"),0)</f>
        <v>0</v>
      </c>
      <c r="J507" s="204">
        <f ca="1">IFERROR(__xludf.DUMMYFUNCTION("IMPORTRANGE(""https://docs.google.com/spreadsheets/d/1IYY_tgx_IHuhSq3AJ5eI5OnqOPBNLWSHKh2a30DoXe8/edit?usp=sharing"",""สงขลา!J402"")"),0)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IFERROR(__xludf.DUMMYFUNCTION("IMPORTRANGE(""https://docs.google.com/spreadsheets/d/1IYY_tgx_IHuhSq3AJ5eI5OnqOPBNLWSHKh2a30DoXe8/edit?usp=sharing"",""สงขลา!I403"")"),0)</f>
        <v>0</v>
      </c>
      <c r="J508" s="166">
        <f ca="1">IFERROR(__xludf.DUMMYFUNCTION("IMPORTRANGE(""https://docs.google.com/spreadsheets/d/1IYY_tgx_IHuhSq3AJ5eI5OnqOPBNLWSHKh2a30DoXe8/edit?usp=sharing"",""สงขลา!J403"")"),38)</f>
        <v>38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IFERROR(__xludf.DUMMYFUNCTION("IMPORTRANGE(""https://docs.google.com/spreadsheets/d/1IYY_tgx_IHuhSq3AJ5eI5OnqOPBNLWSHKh2a30DoXe8/edit?usp=sharing"",""สงขลา!I404"")"),0)</f>
        <v>0</v>
      </c>
      <c r="J509" s="166">
        <f ca="1">IFERROR(__xludf.DUMMYFUNCTION("IMPORTRANGE(""https://docs.google.com/spreadsheets/d/1IYY_tgx_IHuhSq3AJ5eI5OnqOPBNLWSHKh2a30DoXe8/edit?usp=sharing"",""สงขลา!J404"")"),5)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IFERROR(__xludf.DUMMYFUNCTION("IMPORTRANGE(""https://docs.google.com/spreadsheets/d/1IYY_tgx_IHuhSq3AJ5eI5OnqOPBNLWSHKh2a30DoXe8/edit?usp=sharing"",""สงขลา!I405"")"),0)</f>
        <v>0</v>
      </c>
      <c r="J510" s="204">
        <f ca="1">IFERROR(__xludf.DUMMYFUNCTION("IMPORTRANGE(""https://docs.google.com/spreadsheets/d/1IYY_tgx_IHuhSq3AJ5eI5OnqOPBNLWSHKh2a30DoXe8/edit?usp=sharing"",""สงขลา!J405"")"),38)</f>
        <v>38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IFERROR(__xludf.DUMMYFUNCTION("IMPORTRANGE(""https://docs.google.com/spreadsheets/d/1IYY_tgx_IHuhSq3AJ5eI5OnqOPBNLWSHKh2a30DoXe8/edit?usp=sharing"",""สงขลา!I406"")"),0)</f>
        <v>0</v>
      </c>
      <c r="J511" s="204">
        <f ca="1">IFERROR(__xludf.DUMMYFUNCTION("IMPORTRANGE(""https://docs.google.com/spreadsheets/d/1IYY_tgx_IHuhSq3AJ5eI5OnqOPBNLWSHKh2a30DoXe8/edit?usp=sharing"",""สงขลา!J406"")"),5)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IFERROR(__xludf.DUMMYFUNCTION("IMPORTRANGE(""https://docs.google.com/spreadsheets/d/1IYY_tgx_IHuhSq3AJ5eI5OnqOPBNLWSHKh2a30DoXe8/edit?usp=sharing"",""สงขลา!I407"")"),0)</f>
        <v>0</v>
      </c>
      <c r="J512" s="204">
        <f ca="1">IFERROR(__xludf.DUMMYFUNCTION("IMPORTRANGE(""https://docs.google.com/spreadsheets/d/1IYY_tgx_IHuhSq3AJ5eI5OnqOPBNLWSHKh2a30DoXe8/edit?usp=sharing"",""สงขลา!J407"")"),0)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IFERROR(__xludf.DUMMYFUNCTION("IMPORTRANGE(""https://docs.google.com/spreadsheets/d/1IYY_tgx_IHuhSq3AJ5eI5OnqOPBNLWSHKh2a30DoXe8/edit?usp=sharing"",""สงขลา!I408"")"),0)</f>
        <v>0</v>
      </c>
      <c r="J513" s="204">
        <f ca="1">IFERROR(__xludf.DUMMYFUNCTION("IMPORTRANGE(""https://docs.google.com/spreadsheets/d/1IYY_tgx_IHuhSq3AJ5eI5OnqOPBNLWSHKh2a30DoXe8/edit?usp=sharing"",""สงขลา!J408"")"),0)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IFERROR(__xludf.DUMMYFUNCTION("IMPORTRANGE(""https://docs.google.com/spreadsheets/d/1IYY_tgx_IHuhSq3AJ5eI5OnqOPBNLWSHKh2a30DoXe8/edit?usp=sharing"",""สงขลา!I409"")"),0)</f>
        <v>0</v>
      </c>
      <c r="J514" s="204">
        <f ca="1">IFERROR(__xludf.DUMMYFUNCTION("IMPORTRANGE(""https://docs.google.com/spreadsheets/d/1IYY_tgx_IHuhSq3AJ5eI5OnqOPBNLWSHKh2a30DoXe8/edit?usp=sharing"",""สงขลา!J409"")"),0)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IFERROR(__xludf.DUMMYFUNCTION("IMPORTRANGE(""https://docs.google.com/spreadsheets/d/1IYY_tgx_IHuhSq3AJ5eI5OnqOPBNLWSHKh2a30DoXe8/edit?usp=sharing"",""สงขลา!I410"")"),0)</f>
        <v>0</v>
      </c>
      <c r="J515" s="204">
        <f ca="1">IFERROR(__xludf.DUMMYFUNCTION("IMPORTRANGE(""https://docs.google.com/spreadsheets/d/1IYY_tgx_IHuhSq3AJ5eI5OnqOPBNLWSHKh2a30DoXe8/edit?usp=sharing"",""สงขลา!J410"")"),0)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IFERROR(__xludf.DUMMYFUNCTION("IMPORTRANGE(""https://docs.google.com/spreadsheets/d/1IYY_tgx_IHuhSq3AJ5eI5OnqOPBNLWSHKh2a30DoXe8/edit?usp=sharing"",""สงขลา!I411"")"),0)</f>
        <v>0</v>
      </c>
      <c r="J516" s="273">
        <f ca="1">IFERROR(__xludf.DUMMYFUNCTION("IMPORTRANGE(""https://docs.google.com/spreadsheets/d/1IYY_tgx_IHuhSq3AJ5eI5OnqOPBNLWSHKh2a30DoXe8/edit?usp=sharing"",""สงขลา!J411"")"),0)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IFERROR(__xludf.DUMMYFUNCTION("IMPORTRANGE(""https://docs.google.com/spreadsheets/d/1IYY_tgx_IHuhSq3AJ5eI5OnqOPBNLWSHKh2a30DoXe8/edit?usp=sharing"",""สงขลา!I414"")"),0)</f>
        <v>0</v>
      </c>
      <c r="J519" s="194">
        <f ca="1">IFERROR(__xludf.DUMMYFUNCTION("IMPORTRANGE(""https://docs.google.com/spreadsheets/d/1IYY_tgx_IHuhSq3AJ5eI5OnqOPBNLWSHKh2a30DoXe8/edit?usp=sharing"",""สงขลา!J414"")"),0)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IFERROR(__xludf.DUMMYFUNCTION("IMPORTRANGE(""https://docs.google.com/spreadsheets/d/1IYY_tgx_IHuhSq3AJ5eI5OnqOPBNLWSHKh2a30DoXe8/edit?usp=sharing"",""สงขลา!I415"")"),0)</f>
        <v>0</v>
      </c>
      <c r="J520" s="194">
        <f ca="1">IFERROR(__xludf.DUMMYFUNCTION("IMPORTRANGE(""https://docs.google.com/spreadsheets/d/1IYY_tgx_IHuhSq3AJ5eI5OnqOPBNLWSHKh2a30DoXe8/edit?usp=sharing"",""สงขลา!J415"")"),0)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IFERROR(__xludf.DUMMYFUNCTION("IMPORTRANGE(""https://docs.google.com/spreadsheets/d/1IYY_tgx_IHuhSq3AJ5eI5OnqOPBNLWSHKh2a30DoXe8/edit?usp=sharing"",""สงขลา!I416"")"),0)</f>
        <v>0</v>
      </c>
      <c r="J521" s="194">
        <f ca="1">IFERROR(__xludf.DUMMYFUNCTION("IMPORTRANGE(""https://docs.google.com/spreadsheets/d/1IYY_tgx_IHuhSq3AJ5eI5OnqOPBNLWSHKh2a30DoXe8/edit?usp=sharing"",""สงขลา!J416"")"),0)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IFERROR(__xludf.DUMMYFUNCTION("IMPORTRANGE(""https://docs.google.com/spreadsheets/d/1IYY_tgx_IHuhSq3AJ5eI5OnqOPBNLWSHKh2a30DoXe8/edit?usp=sharing"",""สงขลา!I417"")"),0)</f>
        <v>0</v>
      </c>
      <c r="J522" s="194">
        <f ca="1">IFERROR(__xludf.DUMMYFUNCTION("IMPORTRANGE(""https://docs.google.com/spreadsheets/d/1IYY_tgx_IHuhSq3AJ5eI5OnqOPBNLWSHKh2a30DoXe8/edit?usp=sharing"",""สงขลา!J417"")"),0)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IFERROR(__xludf.DUMMYFUNCTION("IMPORTRANGE(""https://docs.google.com/spreadsheets/d/1IYY_tgx_IHuhSq3AJ5eI5OnqOPBNLWSHKh2a30DoXe8/edit?usp=sharing"",""สงขลา!I418"")"),0)</f>
        <v>0</v>
      </c>
      <c r="J523" s="194">
        <f ca="1">IFERROR(__xludf.DUMMYFUNCTION("IMPORTRANGE(""https://docs.google.com/spreadsheets/d/1IYY_tgx_IHuhSq3AJ5eI5OnqOPBNLWSHKh2a30DoXe8/edit?usp=sharing"",""สงขลา!J418"")"),0)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IFERROR(__xludf.DUMMYFUNCTION("IMPORTRANGE(""https://docs.google.com/spreadsheets/d/1IYY_tgx_IHuhSq3AJ5eI5OnqOPBNLWSHKh2a30DoXe8/edit?usp=sharing"",""สงขลา!I419"")"),0)</f>
        <v>0</v>
      </c>
      <c r="J524" s="194">
        <f ca="1">IFERROR(__xludf.DUMMYFUNCTION("IMPORTRANGE(""https://docs.google.com/spreadsheets/d/1IYY_tgx_IHuhSq3AJ5eI5OnqOPBNLWSHKh2a30DoXe8/edit?usp=sharing"",""สงขลา!J419"")"),0)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IFERROR(__xludf.DUMMYFUNCTION("IMPORTRANGE(""https://docs.google.com/spreadsheets/d/1IYY_tgx_IHuhSq3AJ5eI5OnqOPBNLWSHKh2a30DoXe8/edit?usp=sharing"",""สงขลา!I422"")"),0)</f>
        <v>0</v>
      </c>
      <c r="J527" s="204">
        <f ca="1">IFERROR(__xludf.DUMMYFUNCTION("IMPORTRANGE(""https://docs.google.com/spreadsheets/d/1IYY_tgx_IHuhSq3AJ5eI5OnqOPBNLWSHKh2a30DoXe8/edit?usp=sharing"",""สงขลา!J422"")"),0)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IFERROR(__xludf.DUMMYFUNCTION("IMPORTRANGE(""https://docs.google.com/spreadsheets/d/1IYY_tgx_IHuhSq3AJ5eI5OnqOPBNLWSHKh2a30DoXe8/edit?usp=sharing"",""สงขลา!I423"")"),0)</f>
        <v>0</v>
      </c>
      <c r="J528" s="204">
        <f ca="1">IFERROR(__xludf.DUMMYFUNCTION("IMPORTRANGE(""https://docs.google.com/spreadsheets/d/1IYY_tgx_IHuhSq3AJ5eI5OnqOPBNLWSHKh2a30DoXe8/edit?usp=sharing"",""สงขลา!J423"")"),0)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IFERROR(__xludf.DUMMYFUNCTION("IMPORTRANGE(""https://docs.google.com/spreadsheets/d/1IYY_tgx_IHuhSq3AJ5eI5OnqOPBNLWSHKh2a30DoXe8/edit?usp=sharing"",""สงขลา!I424"")"),0)</f>
        <v>0</v>
      </c>
      <c r="J529" s="204">
        <f ca="1">IFERROR(__xludf.DUMMYFUNCTION("IMPORTRANGE(""https://docs.google.com/spreadsheets/d/1IYY_tgx_IHuhSq3AJ5eI5OnqOPBNLWSHKh2a30DoXe8/edit?usp=sharing"",""สงขลา!J424"")"),0)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IFERROR(__xludf.DUMMYFUNCTION("IMPORTRANGE(""https://docs.google.com/spreadsheets/d/1IYY_tgx_IHuhSq3AJ5eI5OnqOPBNLWSHKh2a30DoXe8/edit?usp=sharing"",""สงขลา!I425"")"),0)</f>
        <v>0</v>
      </c>
      <c r="J530" s="204">
        <f ca="1">IFERROR(__xludf.DUMMYFUNCTION("IMPORTRANGE(""https://docs.google.com/spreadsheets/d/1IYY_tgx_IHuhSq3AJ5eI5OnqOPBNLWSHKh2a30DoXe8/edit?usp=sharing"",""สงขลา!J425"")"),0)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IFERROR(__xludf.DUMMYFUNCTION("IMPORTRANGE(""https://docs.google.com/spreadsheets/d/1IYY_tgx_IHuhSq3AJ5eI5OnqOPBNLWSHKh2a30DoXe8/edit?usp=sharing"",""สงขลา!I426"")"),0)</f>
        <v>0</v>
      </c>
      <c r="J531" s="204">
        <f ca="1">IFERROR(__xludf.DUMMYFUNCTION("IMPORTRANGE(""https://docs.google.com/spreadsheets/d/1IYY_tgx_IHuhSq3AJ5eI5OnqOPBNLWSHKh2a30DoXe8/edit?usp=sharing"",""สงขลา!J426"")"),0)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IFERROR(__xludf.DUMMYFUNCTION("IMPORTRANGE(""https://docs.google.com/spreadsheets/d/1IYY_tgx_IHuhSq3AJ5eI5OnqOPBNLWSHKh2a30DoXe8/edit?usp=sharing"",""สงขลา!M428"")"),27090)</f>
        <v>27090</v>
      </c>
      <c r="O533" s="418">
        <f t="shared" ref="O533:O537" ca="1" si="118">+IF(L533&gt;0,N533*100/L533,0)</f>
        <v>82.996323529411768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IFERROR(__xludf.DUMMYFUNCTION("IMPORTRANGE(""https://docs.google.com/spreadsheets/d/1IYY_tgx_IHuhSq3AJ5eI5OnqOPBNLWSHKh2a30DoXe8/edit?usp=sharing"",""สงขลา!L429"")"),0)</f>
        <v>0</v>
      </c>
      <c r="M534" s="168"/>
      <c r="N534" s="175">
        <f ca="1">IFERROR(__xludf.DUMMYFUNCTION("IMPORTRANGE(""https://docs.google.com/spreadsheets/d/1IYY_tgx_IHuhSq3AJ5eI5OnqOPBNLWSHKh2a30DoXe8/edit?usp=sharing"",""สงขลา!M429"")"),0)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IFERROR(__xludf.DUMMYFUNCTION("IMPORTRANGE(""https://docs.google.com/spreadsheets/d/1IYY_tgx_IHuhSq3AJ5eI5OnqOPBNLWSHKh2a30DoXe8/edit?usp=sharing"",""สงขลา!L430"")"),32640)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IFERROR(__xludf.DUMMYFUNCTION("IMPORTRANGE(""https://docs.google.com/spreadsheets/d/1IYY_tgx_IHuhSq3AJ5eI5OnqOPBNLWSHKh2a30DoXe8/edit?usp=sharing"",""สงขลา!M430"")"),27090)</f>
        <v>27090</v>
      </c>
      <c r="O535" s="175">
        <f t="shared" ca="1" si="118"/>
        <v>82.996323529411768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IFERROR(__xludf.DUMMYFUNCTION("IMPORTRANGE(""https://docs.google.com/spreadsheets/d/1IYY_tgx_IHuhSq3AJ5eI5OnqOPBNLWSHKh2a30DoXe8/edit?usp=sharing"",""สงขลา!L431"")"),0)</f>
        <v>0</v>
      </c>
      <c r="M536" s="175"/>
      <c r="N536" s="175">
        <f ca="1">IFERROR(__xludf.DUMMYFUNCTION("IMPORTRANGE(""https://docs.google.com/spreadsheets/d/1IYY_tgx_IHuhSq3AJ5eI5OnqOPBNLWSHKh2a30DoXe8/edit?usp=sharing"",""สงขลา!M431"")"),0)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IFERROR(__xludf.DUMMYFUNCTION("IMPORTRANGE(""https://docs.google.com/spreadsheets/d/1IYY_tgx_IHuhSq3AJ5eI5OnqOPBNLWSHKh2a30DoXe8/edit?usp=sharing"",""สงขลา!L432"")"),32640)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IFERROR(__xludf.DUMMYFUNCTION("IMPORTRANGE(""https://docs.google.com/spreadsheets/d/1IYY_tgx_IHuhSq3AJ5eI5OnqOPBNLWSHKh2a30DoXe8/edit?usp=sharing"",""สงขลา!M432"")"),27090)</f>
        <v>27090</v>
      </c>
      <c r="O537" s="175">
        <f t="shared" ca="1" si="118"/>
        <v>82.996323529411768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IFERROR(__xludf.DUMMYFUNCTION("IMPORTRANGE(""https://docs.google.com/spreadsheets/d/1IYY_tgx_IHuhSq3AJ5eI5OnqOPBNLWSHKh2a30DoXe8/edit?usp=sharing"",""สงขลา!M433"")"),15665)</f>
        <v>15665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IFERROR(__xludf.DUMMYFUNCTION("IMPORTRANGE(""https://docs.google.com/spreadsheets/d/1IYY_tgx_IHuhSq3AJ5eI5OnqOPBNLWSHKh2a30DoXe8/edit?usp=sharing"",""สงขลา!J438"")"),0)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IFERROR(__xludf.DUMMYFUNCTION("IMPORTRANGE(""https://docs.google.com/spreadsheets/d/1IYY_tgx_IHuhSq3AJ5eI5OnqOPBNLWSHKh2a30DoXe8/edit?usp=sharing"",""สงขลา!J439"")"),1)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IFERROR(__xludf.DUMMYFUNCTION("IMPORTRANGE(""https://docs.google.com/spreadsheets/d/1IYY_tgx_IHuhSq3AJ5eI5OnqOPBNLWSHKh2a30DoXe8/edit?usp=sharing"",""สงขลา!J440"")"),1)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IFERROR(__xludf.DUMMYFUNCTION("IMPORTRANGE(""https://docs.google.com/spreadsheets/d/1IYY_tgx_IHuhSq3AJ5eI5OnqOPBNLWSHKh2a30DoXe8/edit?usp=sharing"",""สงขลา!J441"")"),1)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IFERROR(__xludf.DUMMYFUNCTION("IMPORTRANGE(""https://docs.google.com/spreadsheets/d/1IYY_tgx_IHuhSq3AJ5eI5OnqOPBNLWSHKh2a30DoXe8/edit?usp=sharing"",""สงขลา!I442"")"),20)</f>
        <v>20</v>
      </c>
      <c r="J547" s="195">
        <f ca="1">IFERROR(__xludf.DUMMYFUNCTION("IMPORTRANGE(""https://docs.google.com/spreadsheets/d/1IYY_tgx_IHuhSq3AJ5eI5OnqOPBNLWSHKh2a30DoXe8/edit?usp=sharing"",""สงขลา!J442"")"),20)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IFERROR(__xludf.DUMMYFUNCTION("IMPORTRANGE(""https://docs.google.com/spreadsheets/d/1IYY_tgx_IHuhSq3AJ5eI5OnqOPBNLWSHKh2a30DoXe8/edit?usp=sharing"",""สงขลา!J166"")"),0)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IFERROR(__xludf.DUMMYFUNCTION("IMPORTRANGE(""https://docs.google.com/spreadsheets/d/1IYY_tgx_IHuhSq3AJ5eI5OnqOPBNLWSHKh2a30DoXe8/edit?usp=sharing"",""สงขลา!J444"")"),0)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IFERROR(__xludf.DUMMYFUNCTION("IMPORTRANGE(""https://docs.google.com/spreadsheets/d/1IYY_tgx_IHuhSq3AJ5eI5OnqOPBNLWSHKh2a30DoXe8/edit?usp=sharing"",""สงขลา!L447"")"),0)</f>
        <v>0</v>
      </c>
      <c r="M552" s="168"/>
      <c r="N552" s="175">
        <f ca="1">IFERROR(__xludf.DUMMYFUNCTION("IMPORTRANGE(""https://docs.google.com/spreadsheets/d/1IYY_tgx_IHuhSq3AJ5eI5OnqOPBNLWSHKh2a30DoXe8/edit?usp=sharing"",""สงขลา!M447"")"),0)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5">
        <f ca="1">IFERROR(__xludf.DUMMYFUNCTION("IMPORTRANGE(""https://docs.google.com/spreadsheets/d/1IYY_tgx_IHuhSq3AJ5eI5OnqOPBNLWSHKh2a30DoXe8/edit?usp=sharing"",""สงขลา!M448"")"),0)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IFERROR(__xludf.DUMMYFUNCTION("IMPORTRANGE(""https://docs.google.com/spreadsheets/d/1IYY_tgx_IHuhSq3AJ5eI5OnqOPBNLWSHKh2a30DoXe8/edit?usp=sharing"",""สงขลา!L449"")"),0)</f>
        <v>0</v>
      </c>
      <c r="M554" s="175"/>
      <c r="N554" s="175">
        <f ca="1">IFERROR(__xludf.DUMMYFUNCTION("IMPORTRANGE(""https://docs.google.com/spreadsheets/d/1IYY_tgx_IHuhSq3AJ5eI5OnqOPBNLWSHKh2a30DoXe8/edit?usp=sharing"",""สงขลา!M449"")"),0)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IFERROR(__xludf.DUMMYFUNCTION("IMPORTRANGE(""https://docs.google.com/spreadsheets/d/1IYY_tgx_IHuhSq3AJ5eI5OnqOPBNLWSHKh2a30DoXe8/edit?usp=sharing"",""สงขลา!L450"")"),0)</f>
        <v>0</v>
      </c>
      <c r="M555" s="175"/>
      <c r="N555" s="175">
        <f ca="1">IFERROR(__xludf.DUMMYFUNCTION("IMPORTRANGE(""https://docs.google.com/spreadsheets/d/1IYY_tgx_IHuhSq3AJ5eI5OnqOPBNLWSHKh2a30DoXe8/edit?usp=sharing"",""สงขลา!M450"")"),0)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IFERROR(__xludf.DUMMYFUNCTION("IMPORTRANGE(""https://docs.google.com/spreadsheets/d/1IYY_tgx_IHuhSq3AJ5eI5OnqOPBNLWSHKh2a30DoXe8/edit?usp=sharing"",""สงขลา!M451"")"),0)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IFERROR(__xludf.DUMMYFUNCTION("IMPORTRANGE(""https://docs.google.com/spreadsheets/d/1IYY_tgx_IHuhSq3AJ5eI5OnqOPBNLWSHKh2a30DoXe8/edit?usp=sharing"",""สงขลา!M452"")"),0)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IFERROR(__xludf.DUMMYFUNCTION("IMPORTRANGE(""https://docs.google.com/spreadsheets/d/1IYY_tgx_IHuhSq3AJ5eI5OnqOPBNLWSHKh2a30DoXe8/edit?usp=sharing"",""สงขลา!M453"")"),0)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IFERROR(__xludf.DUMMYFUNCTION("IMPORTRANGE(""https://docs.google.com/spreadsheets/d/1IYY_tgx_IHuhSq3AJ5eI5OnqOPBNLWSHKh2a30DoXe8/edit?usp=sharing"",""สงขลา!M454"")"),0)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IFERROR(__xludf.DUMMYFUNCTION("IMPORTRANGE(""https://docs.google.com/spreadsheets/d/1IYY_tgx_IHuhSq3AJ5eI5OnqOPBNLWSHKh2a30DoXe8/edit?usp=sharing"",""สงขลา!I455"")"),0)</f>
        <v>0</v>
      </c>
      <c r="J560" s="166">
        <f ca="1">IFERROR(__xludf.DUMMYFUNCTION("IMPORTRANGE(""https://docs.google.com/spreadsheets/d/1IYY_tgx_IHuhSq3AJ5eI5OnqOPBNLWSHKh2a30DoXe8/edit?usp=sharing"",""สงขลา!J455"")"),0)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IFERROR(__xludf.DUMMYFUNCTION("IMPORTRANGE(""https://docs.google.com/spreadsheets/d/1IYY_tgx_IHuhSq3AJ5eI5OnqOPBNLWSHKh2a30DoXe8/edit?usp=sharing"",""สงขลา!I456"")"),0)</f>
        <v>0</v>
      </c>
      <c r="J561" s="210">
        <f ca="1">IFERROR(__xludf.DUMMYFUNCTION("IMPORTRANGE(""https://docs.google.com/spreadsheets/d/1IYY_tgx_IHuhSq3AJ5eI5OnqOPBNLWSHKh2a30DoXe8/edit?usp=sharing"",""สงขลา!J456"")"),0)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IFERROR(__xludf.DUMMYFUNCTION("IMPORTRANGE(""https://docs.google.com/spreadsheets/d/1IYY_tgx_IHuhSq3AJ5eI5OnqOPBNLWSHKh2a30DoXe8/edit?usp=sharing"",""สงขลา!J459"")"),2003)</f>
        <v>2003</v>
      </c>
      <c r="K564" s="378">
        <f ca="1">IF(I564&gt;0,J564*100/I564,0)</f>
        <v>182.09090909090909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IFERROR(__xludf.DUMMYFUNCTION("IMPORTRANGE(""https://docs.google.com/spreadsheets/d/1IYY_tgx_IHuhSq3AJ5eI5OnqOPBNLWSHKh2a30DoXe8/edit?usp=sharing"",""สงขลา!M459"")"),104555)</f>
        <v>104555</v>
      </c>
      <c r="O564" s="379">
        <f t="shared" ref="O564:O568" ca="1" si="122">+IF(L564&gt;0,N564*100/L564,0)</f>
        <v>84.591423948220068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IFERROR(__xludf.DUMMYFUNCTION("IMPORTRANGE(""https://docs.google.com/spreadsheets/d/1IYY_tgx_IHuhSq3AJ5eI5OnqOPBNLWSHKh2a30DoXe8/edit?usp=sharing"",""สงขลา!L460"")"),0)</f>
        <v>0</v>
      </c>
      <c r="M565" s="168"/>
      <c r="N565" s="175">
        <f ca="1">IFERROR(__xludf.DUMMYFUNCTION("IMPORTRANGE(""https://docs.google.com/spreadsheets/d/1IYY_tgx_IHuhSq3AJ5eI5OnqOPBNLWSHKh2a30DoXe8/edit?usp=sharing"",""สงขลา!M460"")"),0)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5">
        <f ca="1">IFERROR(__xludf.DUMMYFUNCTION("IMPORTRANGE(""https://docs.google.com/spreadsheets/d/1IYY_tgx_IHuhSq3AJ5eI5OnqOPBNLWSHKh2a30DoXe8/edit?usp=sharing"",""สงขลา!M461"")"),104555)</f>
        <v>104555</v>
      </c>
      <c r="O566" s="175">
        <f t="shared" ca="1" si="122"/>
        <v>84.591423948220068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IFERROR(__xludf.DUMMYFUNCTION("IMPORTRANGE(""https://docs.google.com/spreadsheets/d/1IYY_tgx_IHuhSq3AJ5eI5OnqOPBNLWSHKh2a30DoXe8/edit?usp=sharing"",""สงขลา!L462"")"),0)</f>
        <v>0</v>
      </c>
      <c r="M567" s="175"/>
      <c r="N567" s="175">
        <f ca="1">IFERROR(__xludf.DUMMYFUNCTION("IMPORTRANGE(""https://docs.google.com/spreadsheets/d/1IYY_tgx_IHuhSq3AJ5eI5OnqOPBNLWSHKh2a30DoXe8/edit?usp=sharing"",""สงขลา!M462"")"),0)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IFERROR(__xludf.DUMMYFUNCTION("IMPORTRANGE(""https://docs.google.com/spreadsheets/d/1IYY_tgx_IHuhSq3AJ5eI5OnqOPBNLWSHKh2a30DoXe8/edit?usp=sharing"",""สงขลา!L463"")"),123600)</f>
        <v>123600</v>
      </c>
      <c r="M568" s="175"/>
      <c r="N568" s="175">
        <f ca="1">IFERROR(__xludf.DUMMYFUNCTION("IMPORTRANGE(""https://docs.google.com/spreadsheets/d/1IYY_tgx_IHuhSq3AJ5eI5OnqOPBNLWSHKh2a30DoXe8/edit?usp=sharing"",""สงขลา!M463"")"),104555)</f>
        <v>104555</v>
      </c>
      <c r="O568" s="175">
        <f t="shared" ca="1" si="122"/>
        <v>84.591423948220068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IFERROR(__xludf.DUMMYFUNCTION("IMPORTRANGE(""https://docs.google.com/spreadsheets/d/1IYY_tgx_IHuhSq3AJ5eI5OnqOPBNLWSHKh2a30DoXe8/edit?usp=sharing"",""สงขลา!M464"")"),0)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IFERROR(__xludf.DUMMYFUNCTION("IMPORTRANGE(""https://docs.google.com/spreadsheets/d/1IYY_tgx_IHuhSq3AJ5eI5OnqOPBNLWSHKh2a30DoXe8/edit?usp=sharing"",""สงขลา!M465"")"),0)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IFERROR(__xludf.DUMMYFUNCTION("IMPORTRANGE(""https://docs.google.com/spreadsheets/d/1IYY_tgx_IHuhSq3AJ5eI5OnqOPBNLWSHKh2a30DoXe8/edit?usp=sharing"",""สงขลา!M466"")"),96515)</f>
        <v>96515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IFERROR(__xludf.DUMMYFUNCTION("IMPORTRANGE(""https://docs.google.com/spreadsheets/d/1IYY_tgx_IHuhSq3AJ5eI5OnqOPBNLWSHKh2a30DoXe8/edit?usp=sharing"",""สงขลา!M467"")"),8040)</f>
        <v>8040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IFERROR(__xludf.DUMMYFUNCTION("IMPORTRANGE(""https://docs.google.com/spreadsheets/d/1IYY_tgx_IHuhSq3AJ5eI5OnqOPBNLWSHKh2a30DoXe8/edit?usp=sharing"",""สงขลา!J468"")"),2003)</f>
        <v>2003</v>
      </c>
      <c r="K573" s="208">
        <f ca="1">IF(I573&gt;0,J573*100/I573,0)</f>
        <v>182.09090909090909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IFERROR(__xludf.DUMMYFUNCTION("IMPORTRANGE(""https://docs.google.com/spreadsheets/d/1IYY_tgx_IHuhSq3AJ5eI5OnqOPBNLWSHKh2a30DoXe8/edit?usp=sharing"",""สงขลา!I470"")"),0)</f>
        <v>0</v>
      </c>
      <c r="J575" s="204">
        <f ca="1">IFERROR(__xludf.DUMMYFUNCTION("IMPORTRANGE(""https://docs.google.com/spreadsheets/d/1IYY_tgx_IHuhSq3AJ5eI5OnqOPBNLWSHKh2a30DoXe8/edit?usp=sharing"",""สงขลา!J470"")"),3)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IFERROR(__xludf.DUMMYFUNCTION("IMPORTRANGE(""https://docs.google.com/spreadsheets/d/1IYY_tgx_IHuhSq3AJ5eI5OnqOPBNLWSHKh2a30DoXe8/edit?usp=sharing"",""สงขลา!I471"")"),0)</f>
        <v>0</v>
      </c>
      <c r="J576" s="204">
        <f ca="1">IFERROR(__xludf.DUMMYFUNCTION("IMPORTRANGE(""https://docs.google.com/spreadsheets/d/1IYY_tgx_IHuhSq3AJ5eI5OnqOPBNLWSHKh2a30DoXe8/edit?usp=sharing"",""สงขลา!J471"")"),116)</f>
        <v>116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IFERROR(__xludf.DUMMYFUNCTION("IMPORTRANGE(""https://docs.google.com/spreadsheets/d/1IYY_tgx_IHuhSq3AJ5eI5OnqOPBNLWSHKh2a30DoXe8/edit?usp=sharing"",""สงขลา!I472"")"),0)</f>
        <v>0</v>
      </c>
      <c r="J577" s="195">
        <f ca="1">IFERROR(__xludf.DUMMYFUNCTION("IMPORTRANGE(""https://docs.google.com/spreadsheets/d/1IYY_tgx_IHuhSq3AJ5eI5OnqOPBNLWSHKh2a30DoXe8/edit?usp=sharing"",""สงขลา!J472"")"),1886)</f>
        <v>1886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IFERROR(__xludf.DUMMYFUNCTION("IMPORTRANGE(""https://docs.google.com/spreadsheets/d/1IYY_tgx_IHuhSq3AJ5eI5OnqOPBNLWSHKh2a30DoXe8/edit?usp=sharing"",""สงขลา!I473"")"),0)</f>
        <v>0</v>
      </c>
      <c r="J578" s="204">
        <f ca="1">IFERROR(__xludf.DUMMYFUNCTION("IMPORTRANGE(""https://docs.google.com/spreadsheets/d/1IYY_tgx_IHuhSq3AJ5eI5OnqOPBNLWSHKh2a30DoXe8/edit?usp=sharing"",""สงขลา!J473"")"),1)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IFERROR(__xludf.DUMMYFUNCTION("IMPORTRANGE(""https://docs.google.com/spreadsheets/d/1IYY_tgx_IHuhSq3AJ5eI5OnqOPBNLWSHKh2a30DoXe8/edit?usp=sharing"",""สงขลา!I474"")"),0)</f>
        <v>0</v>
      </c>
      <c r="J579" s="204">
        <f ca="1">IFERROR(__xludf.DUMMYFUNCTION("IMPORTRANGE(""https://docs.google.com/spreadsheets/d/1IYY_tgx_IHuhSq3AJ5eI5OnqOPBNLWSHKh2a30DoXe8/edit?usp=sharing"",""สงขลา!J474"")"),0)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IFERROR(__xludf.DUMMYFUNCTION("IMPORTRANGE(""https://docs.google.com/spreadsheets/d/1IYY_tgx_IHuhSq3AJ5eI5OnqOPBNLWSHKh2a30DoXe8/edit?usp=sharing"",""สงขลา!M475"")"),238565)</f>
        <v>238565</v>
      </c>
      <c r="O580" s="379">
        <f t="shared" ref="O580:O584" ca="1" si="124">+IF(L580&gt;0,N580*100/L580,0)</f>
        <v>63.343688598587434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IFERROR(__xludf.DUMMYFUNCTION("IMPORTRANGE(""https://docs.google.com/spreadsheets/d/1IYY_tgx_IHuhSq3AJ5eI5OnqOPBNLWSHKh2a30DoXe8/edit?usp=sharing"",""สงขลา!L476"")"),0)</f>
        <v>0</v>
      </c>
      <c r="M581" s="168"/>
      <c r="N581" s="175">
        <f ca="1">IFERROR(__xludf.DUMMYFUNCTION("IMPORTRANGE(""https://docs.google.com/spreadsheets/d/1IYY_tgx_IHuhSq3AJ5eI5OnqOPBNLWSHKh2a30DoXe8/edit?usp=sharing"",""สงขลา!M476"")"),0)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5">
        <f ca="1">IFERROR(__xludf.DUMMYFUNCTION("IMPORTRANGE(""https://docs.google.com/spreadsheets/d/1IYY_tgx_IHuhSq3AJ5eI5OnqOPBNLWSHKh2a30DoXe8/edit?usp=sharing"",""สงขลา!M477"")"),238565)</f>
        <v>238565</v>
      </c>
      <c r="O582" s="175">
        <f t="shared" ca="1" si="124"/>
        <v>63.343688598587434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IFERROR(__xludf.DUMMYFUNCTION("IMPORTRANGE(""https://docs.google.com/spreadsheets/d/1IYY_tgx_IHuhSq3AJ5eI5OnqOPBNLWSHKh2a30DoXe8/edit?usp=sharing"",""สงขลา!L478"")"),0)</f>
        <v>0</v>
      </c>
      <c r="M583" s="175"/>
      <c r="N583" s="175">
        <f ca="1">IFERROR(__xludf.DUMMYFUNCTION("IMPORTRANGE(""https://docs.google.com/spreadsheets/d/1IYY_tgx_IHuhSq3AJ5eI5OnqOPBNLWSHKh2a30DoXe8/edit?usp=sharing"",""สงขลา!M478"")"),0)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IFERROR(__xludf.DUMMYFUNCTION("IMPORTRANGE(""https://docs.google.com/spreadsheets/d/1IYY_tgx_IHuhSq3AJ5eI5OnqOPBNLWSHKh2a30DoXe8/edit?usp=sharing"",""สงขลา!L479"")"),376620)</f>
        <v>376620</v>
      </c>
      <c r="M584" s="175"/>
      <c r="N584" s="175">
        <f ca="1">IFERROR(__xludf.DUMMYFUNCTION("IMPORTRANGE(""https://docs.google.com/spreadsheets/d/1IYY_tgx_IHuhSq3AJ5eI5OnqOPBNLWSHKh2a30DoXe8/edit?usp=sharing"",""สงขลา!M479"")"),238565)</f>
        <v>238565</v>
      </c>
      <c r="O584" s="175">
        <f t="shared" ca="1" si="124"/>
        <v>63.343688598587434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IFERROR(__xludf.DUMMYFUNCTION("IMPORTRANGE(""https://docs.google.com/spreadsheets/d/1IYY_tgx_IHuhSq3AJ5eI5OnqOPBNLWSHKh2a30DoXe8/edit?usp=sharing"",""สงขลา!M480"")"),0)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IFERROR(__xludf.DUMMYFUNCTION("IMPORTRANGE(""https://docs.google.com/spreadsheets/d/1IYY_tgx_IHuhSq3AJ5eI5OnqOPBNLWSHKh2a30DoXe8/edit?usp=sharing"",""สงขลา!M481"")"),0)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IFERROR(__xludf.DUMMYFUNCTION("IMPORTRANGE(""https://docs.google.com/spreadsheets/d/1IYY_tgx_IHuhSq3AJ5eI5OnqOPBNLWSHKh2a30DoXe8/edit?usp=sharing"",""สงขลา!M482"")"),95096)</f>
        <v>95096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IFERROR(__xludf.DUMMYFUNCTION("IMPORTRANGE(""https://docs.google.com/spreadsheets/d/1IYY_tgx_IHuhSq3AJ5eI5OnqOPBNLWSHKh2a30DoXe8/edit?usp=sharing"",""สงขลา!M483"")"),143469)</f>
        <v>143469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4">
        <f ca="1">IFERROR(__xludf.DUMMYFUNCTION("IMPORTRANGE(""https://docs.google.com/spreadsheets/d/1IYY_tgx_IHuhSq3AJ5eI5OnqOPBNLWSHKh2a30DoXe8/edit?usp=sharing"",""สงขลา!J484"")"),300)</f>
        <v>300</v>
      </c>
      <c r="K589" s="167">
        <f t="shared" ref="K589:K596" ca="1" si="125">IF(I589&gt;0,J589*100/I589,0)</f>
        <v>136.36363636363637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4">
        <f ca="1">IFERROR(__xludf.DUMMYFUNCTION("IMPORTRANGE(""https://docs.google.com/spreadsheets/d/1IYY_tgx_IHuhSq3AJ5eI5OnqOPBNLWSHKh2a30DoXe8/edit?usp=sharing"",""สงขลา!J485"")"),80.97)</f>
        <v>80.97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4">
        <f ca="1">IFERROR(__xludf.DUMMYFUNCTION("IMPORTRANGE(""https://docs.google.com/spreadsheets/d/1IYY_tgx_IHuhSq3AJ5eI5OnqOPBNLWSHKh2a30DoXe8/edit?usp=sharing"",""สงขลา!J486"")"),215)</f>
        <v>215</v>
      </c>
      <c r="K591" s="167">
        <f t="shared" ca="1" si="125"/>
        <v>97.727272727272734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4">
        <f ca="1">IFERROR(__xludf.DUMMYFUNCTION("IMPORTRANGE(""https://docs.google.com/spreadsheets/d/1IYY_tgx_IHuhSq3AJ5eI5OnqOPBNLWSHKh2a30DoXe8/edit?usp=sharing"",""สงขลา!J487"")"),71.2)</f>
        <v>71.2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4">
        <f ca="1">IFERROR(__xludf.DUMMYFUNCTION("IMPORTRANGE(""https://docs.google.com/spreadsheets/d/1IYY_tgx_IHuhSq3AJ5eI5OnqOPBNLWSHKh2a30DoXe8/edit?usp=sharing"",""สงขลา!J488"")"),80)</f>
        <v>80</v>
      </c>
      <c r="K593" s="167">
        <f t="shared" ca="1" si="125"/>
        <v>36.363636363636367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4">
        <f ca="1">IFERROR(__xludf.DUMMYFUNCTION("IMPORTRANGE(""https://docs.google.com/spreadsheets/d/1IYY_tgx_IHuhSq3AJ5eI5OnqOPBNLWSHKh2a30DoXe8/edit?usp=sharing"",""สงขลา!J489"")"),28.84)</f>
        <v>28.84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4">
        <f ca="1">IFERROR(__xludf.DUMMYFUNCTION("IMPORTRANGE(""https://docs.google.com/spreadsheets/d/1IYY_tgx_IHuhSq3AJ5eI5OnqOPBNLWSHKh2a30DoXe8/edit?usp=sharing"",""สงขลา!J490"")"),0)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IFERROR(__xludf.DUMMYFUNCTION("IMPORTRANGE(""https://docs.google.com/spreadsheets/d/1IYY_tgx_IHuhSq3AJ5eI5OnqOPBNLWSHKh2a30DoXe8/edit?usp=sharing"",""สงขลา!I491"")"),0)</f>
        <v>0</v>
      </c>
      <c r="J596" s="247">
        <f ca="1">IFERROR(__xludf.DUMMYFUNCTION("IMPORTRANGE(""https://docs.google.com/spreadsheets/d/1IYY_tgx_IHuhSq3AJ5eI5OnqOPBNLWSHKh2a30DoXe8/edit?usp=sharing"",""สงขลา!J491"")"),0)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4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IFERROR(__xludf.DUMMYFUNCTION("IMPORTRANGE(""https://docs.google.com/spreadsheets/d/1IYY_tgx_IHuhSq3AJ5eI5OnqOPBNLWSHKh2a30DoXe8/edit?usp=sharing"",""สงขลา!M492"")"),14115)</f>
        <v>14115</v>
      </c>
      <c r="O597" s="418">
        <f t="shared" ref="O597:O601" ca="1" si="126">+IF(L597&gt;0,N597*100/L597,0)</f>
        <v>310.2197802197802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IFERROR(__xludf.DUMMYFUNCTION("IMPORTRANGE(""https://docs.google.com/spreadsheets/d/1IYY_tgx_IHuhSq3AJ5eI5OnqOPBNLWSHKh2a30DoXe8/edit?usp=sharing"",""สงขลา!L493"")"),0)</f>
        <v>0</v>
      </c>
      <c r="M598" s="168"/>
      <c r="N598" s="175">
        <f ca="1">IFERROR(__xludf.DUMMYFUNCTION("IMPORTRANGE(""https://docs.google.com/spreadsheets/d/1IYY_tgx_IHuhSq3AJ5eI5OnqOPBNLWSHKh2a30DoXe8/edit?usp=sharing"",""สงขลา!M493"")"),0)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IFERROR(__xludf.DUMMYFUNCTION("IMPORTRANGE(""https://docs.google.com/spreadsheets/d/1IYY_tgx_IHuhSq3AJ5eI5OnqOPBNLWSHKh2a30DoXe8/edit?usp=sharing"",""สงขลา!L494"")"),4550)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IFERROR(__xludf.DUMMYFUNCTION("IMPORTRANGE(""https://docs.google.com/spreadsheets/d/1IYY_tgx_IHuhSq3AJ5eI5OnqOPBNLWSHKh2a30DoXe8/edit?usp=sharing"",""สงขลา!M494"")"),14115)</f>
        <v>14115</v>
      </c>
      <c r="O599" s="175">
        <f t="shared" ca="1" si="126"/>
        <v>310.2197802197802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IFERROR(__xludf.DUMMYFUNCTION("IMPORTRANGE(""https://docs.google.com/spreadsheets/d/1IYY_tgx_IHuhSq3AJ5eI5OnqOPBNLWSHKh2a30DoXe8/edit?usp=sharing"",""สงขลา!L495"")"),0)</f>
        <v>0</v>
      </c>
      <c r="M600" s="175"/>
      <c r="N600" s="175">
        <f ca="1">IFERROR(__xludf.DUMMYFUNCTION("IMPORTRANGE(""https://docs.google.com/spreadsheets/d/1IYY_tgx_IHuhSq3AJ5eI5OnqOPBNLWSHKh2a30DoXe8/edit?usp=sharing"",""สงขลา!M495"")"),0)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IFERROR(__xludf.DUMMYFUNCTION("IMPORTRANGE(""https://docs.google.com/spreadsheets/d/1IYY_tgx_IHuhSq3AJ5eI5OnqOPBNLWSHKh2a30DoXe8/edit?usp=sharing"",""สงขลา!L496"")"),4550)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IFERROR(__xludf.DUMMYFUNCTION("IMPORTRANGE(""https://docs.google.com/spreadsheets/d/1IYY_tgx_IHuhSq3AJ5eI5OnqOPBNLWSHKh2a30DoXe8/edit?usp=sharing"",""สงขลา!M496"")"),14115)</f>
        <v>14115</v>
      </c>
      <c r="O601" s="175">
        <f t="shared" ca="1" si="126"/>
        <v>310.2197802197802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IFERROR(__xludf.DUMMYFUNCTION("IMPORTRANGE(""https://docs.google.com/spreadsheets/d/1IYY_tgx_IHuhSq3AJ5eI5OnqOPBNLWSHKh2a30DoXe8/edit?usp=sharing"",""สงขลา!M497"")"),0)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IFERROR(__xludf.DUMMYFUNCTION("IMPORTRANGE(""https://docs.google.com/spreadsheets/d/1IYY_tgx_IHuhSq3AJ5eI5OnqOPBNLWSHKh2a30DoXe8/edit?usp=sharing"",""สงขลา!M498"")"),0)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IFERROR(__xludf.DUMMYFUNCTION("IMPORTRANGE(""https://docs.google.com/spreadsheets/d/1IYY_tgx_IHuhSq3AJ5eI5OnqOPBNLWSHKh2a30DoXe8/edit?usp=sharing"",""สงขลา!M500"")"),14115)</f>
        <v>14115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IFERROR(__xludf.DUMMYFUNCTION("IMPORTRANGE(""https://docs.google.com/spreadsheets/d/1IYY_tgx_IHuhSq3AJ5eI5OnqOPBNLWSHKh2a30DoXe8/edit?usp=sharing"",""สงขลา!J502"")"),0)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IFERROR(__xludf.DUMMYFUNCTION("IMPORTRANGE(""https://docs.google.com/spreadsheets/d/1IYY_tgx_IHuhSq3AJ5eI5OnqOPBNLWSHKh2a30DoXe8/edit?usp=sharing"",""สงขลา!J503"")"),1)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IFERROR(__xludf.DUMMYFUNCTION("IMPORTRANGE(""https://docs.google.com/spreadsheets/d/1IYY_tgx_IHuhSq3AJ5eI5OnqOPBNLWSHKh2a30DoXe8/edit?usp=sharing"",""สงขลา!J166"")"),0)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IFERROR(__xludf.DUMMYFUNCTION("IMPORTRANGE(""https://docs.google.com/spreadsheets/d/1IYY_tgx_IHuhSq3AJ5eI5OnqOPBNLWSHKh2a30DoXe8/edit?usp=sharing"",""สงขลา!J166"")"),0)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IFERROR(__xludf.DUMMYFUNCTION("IMPORTRANGE(""https://docs.google.com/spreadsheets/d/1IYY_tgx_IHuhSq3AJ5eI5OnqOPBNLWSHKh2a30DoXe8/edit?usp=sharing"",""สงขลา!I506"")"),50)</f>
        <v>50</v>
      </c>
      <c r="J611" s="166">
        <f ca="1">IFERROR(__xludf.DUMMYFUNCTION("IMPORTRANGE(""https://docs.google.com/spreadsheets/d/1IYY_tgx_IHuhSq3AJ5eI5OnqOPBNLWSHKh2a30DoXe8/edit?usp=sharing"",""สงขลา!J506"")"),0)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IFERROR(__xludf.DUMMYFUNCTION("IMPORTRANGE(""https://docs.google.com/spreadsheets/d/1IYY_tgx_IHuhSq3AJ5eI5OnqOPBNLWSHKh2a30DoXe8/edit?usp=sharing"",""สงขลา!I507"")"),0)</f>
        <v>0</v>
      </c>
      <c r="J612" s="204">
        <f ca="1">IFERROR(__xludf.DUMMYFUNCTION("IMPORTRANGE(""https://docs.google.com/spreadsheets/d/1IYY_tgx_IHuhSq3AJ5eI5OnqOPBNLWSHKh2a30DoXe8/edit?usp=sharing"",""สงขลา!J507"")"),303.42)</f>
        <v>303.42</v>
      </c>
      <c r="K612" s="167">
        <f t="shared" ca="1" si="127"/>
        <v>606.84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IFERROR(__xludf.DUMMYFUNCTION("IMPORTRANGE(""https://docs.google.com/spreadsheets/d/1IYY_tgx_IHuhSq3AJ5eI5OnqOPBNLWSHKh2a30DoXe8/edit?usp=sharing"",""สงขลา!I508"")"),0)</f>
        <v>0</v>
      </c>
      <c r="J613" s="204">
        <f ca="1">IFERROR(__xludf.DUMMYFUNCTION("IMPORTRANGE(""https://docs.google.com/spreadsheets/d/1IYY_tgx_IHuhSq3AJ5eI5OnqOPBNLWSHKh2a30DoXe8/edit?usp=sharing"",""สงขลา!J508"")"),303)</f>
        <v>303</v>
      </c>
      <c r="K613" s="167">
        <f t="shared" ca="1" si="127"/>
        <v>606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IFERROR(__xludf.DUMMYFUNCTION("IMPORTRANGE(""https://docs.google.com/spreadsheets/d/1IYY_tgx_IHuhSq3AJ5eI5OnqOPBNLWSHKh2a30DoXe8/edit?usp=sharing"",""สงขลา!I509"")"),0)</f>
        <v>0</v>
      </c>
      <c r="J614" s="204">
        <f ca="1">IFERROR(__xludf.DUMMYFUNCTION("IMPORTRANGE(""https://docs.google.com/spreadsheets/d/1IYY_tgx_IHuhSq3AJ5eI5OnqOPBNLWSHKh2a30DoXe8/edit?usp=sharing"",""สงขลา!J509"")"),303)</f>
        <v>303</v>
      </c>
      <c r="K614" s="167">
        <f t="shared" ca="1" si="127"/>
        <v>606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IFERROR(__xludf.DUMMYFUNCTION("IMPORTRANGE(""https://docs.google.com/spreadsheets/d/1IYY_tgx_IHuhSq3AJ5eI5OnqOPBNLWSHKh2a30DoXe8/edit?usp=sharing"",""สงขลา!I510"")"),0)</f>
        <v>0</v>
      </c>
      <c r="J615" s="204">
        <f ca="1">IFERROR(__xludf.DUMMYFUNCTION("IMPORTRANGE(""https://docs.google.com/spreadsheets/d/1IYY_tgx_IHuhSq3AJ5eI5OnqOPBNLWSHKh2a30DoXe8/edit?usp=sharing"",""สงขลา!J510"")"),303)</f>
        <v>303</v>
      </c>
      <c r="K615" s="167">
        <f t="shared" ca="1" si="127"/>
        <v>606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IFERROR(__xludf.DUMMYFUNCTION("IMPORTRANGE(""https://docs.google.com/spreadsheets/d/1IYY_tgx_IHuhSq3AJ5eI5OnqOPBNLWSHKh2a30DoXe8/edit?usp=sharing"",""สงขลา!I511"")"),0)</f>
        <v>0</v>
      </c>
      <c r="J616" s="204">
        <f ca="1">IFERROR(__xludf.DUMMYFUNCTION("IMPORTRANGE(""https://docs.google.com/spreadsheets/d/1IYY_tgx_IHuhSq3AJ5eI5OnqOPBNLWSHKh2a30DoXe8/edit?usp=sharing"",""สงขลา!J511"")"),0)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IFERROR(__xludf.DUMMYFUNCTION("IMPORTRANGE(""https://docs.google.com/spreadsheets/d/1IYY_tgx_IHuhSq3AJ5eI5OnqOPBNLWSHKh2a30DoXe8/edit?usp=sharing"",""สงขลา!I512"")"),0)</f>
        <v>0</v>
      </c>
      <c r="J617" s="194">
        <f ca="1">IFERROR(__xludf.DUMMYFUNCTION("IMPORTRANGE(""https://docs.google.com/spreadsheets/d/1IYY_tgx_IHuhSq3AJ5eI5OnqOPBNLWSHKh2a30DoXe8/edit?usp=sharing"",""สงขลา!J512"")"),0)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IFERROR(__xludf.DUMMYFUNCTION("IMPORTRANGE(""https://docs.google.com/spreadsheets/d/1IYY_tgx_IHuhSq3AJ5eI5OnqOPBNLWSHKh2a30DoXe8/edit?usp=sharing"",""สงขลา!I513"")"),0)</f>
        <v>0</v>
      </c>
      <c r="J618" s="195">
        <f ca="1">IFERROR(__xludf.DUMMYFUNCTION("IMPORTRANGE(""https://docs.google.com/spreadsheets/d/1IYY_tgx_IHuhSq3AJ5eI5OnqOPBNLWSHKh2a30DoXe8/edit?usp=sharing"",""สงขลา!J513"")"),0)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IFERROR(__xludf.DUMMYFUNCTION("IMPORTRANGE(""https://docs.google.com/spreadsheets/d/1IYY_tgx_IHuhSq3AJ5eI5OnqOPBNLWSHKh2a30DoXe8/edit?usp=sharing"",""สงขลา!I514"")"),0)</f>
        <v>0</v>
      </c>
      <c r="J619" s="195">
        <f ca="1">IFERROR(__xludf.DUMMYFUNCTION("IMPORTRANGE(""https://docs.google.com/spreadsheets/d/1IYY_tgx_IHuhSq3AJ5eI5OnqOPBNLWSHKh2a30DoXe8/edit?usp=sharing"",""สงขลา!J514"")"),0)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IFERROR(__xludf.DUMMYFUNCTION("IMPORTRANGE(""https://docs.google.com/spreadsheets/d/1IYY_tgx_IHuhSq3AJ5eI5OnqOPBNLWSHKh2a30DoXe8/edit?usp=sharing"",""สงขลา!I515"")"),48)</f>
        <v>48</v>
      </c>
      <c r="J620" s="209">
        <f ca="1">IFERROR(__xludf.DUMMYFUNCTION("IMPORTRANGE(""https://docs.google.com/spreadsheets/d/1IYY_tgx_IHuhSq3AJ5eI5OnqOPBNLWSHKh2a30DoXe8/edit?usp=sharing"",""สงขลา!J515"")"),0)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IFERROR(__xludf.DUMMYFUNCTION("IMPORTRANGE(""https://docs.google.com/spreadsheets/d/1IYY_tgx_IHuhSq3AJ5eI5OnqOPBNLWSHKh2a30DoXe8/edit?usp=sharing"",""สงขลา!I516"")"),0)</f>
        <v>0</v>
      </c>
      <c r="J621" s="209">
        <f ca="1">IFERROR(__xludf.DUMMYFUNCTION("IMPORTRANGE(""https://docs.google.com/spreadsheets/d/1IYY_tgx_IHuhSq3AJ5eI5OnqOPBNLWSHKh2a30DoXe8/edit?usp=sharing"",""สงขลา!J516"")"),0)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IFERROR(__xludf.DUMMYFUNCTION("IMPORTRANGE(""https://docs.google.com/spreadsheets/d/1IYY_tgx_IHuhSq3AJ5eI5OnqOPBNLWSHKh2a30DoXe8/edit?usp=sharing"",""สงขลา!I517"")"),0)</f>
        <v>0</v>
      </c>
      <c r="J622" s="195">
        <f ca="1">IFERROR(__xludf.DUMMYFUNCTION("IMPORTRANGE(""https://docs.google.com/spreadsheets/d/1IYY_tgx_IHuhSq3AJ5eI5OnqOPBNLWSHKh2a30DoXe8/edit?usp=sharing"",""สงขลา!J517"")"),0)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IFERROR(__xludf.DUMMYFUNCTION("IMPORTRANGE(""https://docs.google.com/spreadsheets/d/1IYY_tgx_IHuhSq3AJ5eI5OnqOPBNLWSHKh2a30DoXe8/edit?usp=sharing"",""สงขลา!I518"")"),0)</f>
        <v>0</v>
      </c>
      <c r="J623" s="195">
        <f ca="1">IFERROR(__xludf.DUMMYFUNCTION("IMPORTRANGE(""https://docs.google.com/spreadsheets/d/1IYY_tgx_IHuhSq3AJ5eI5OnqOPBNLWSHKh2a30DoXe8/edit?usp=sharing"",""สงขลา!J518"")"),0)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IFERROR(__xludf.DUMMYFUNCTION("IMPORTRANGE(""https://docs.google.com/spreadsheets/d/1IYY_tgx_IHuhSq3AJ5eI5OnqOPBNLWSHKh2a30DoXe8/edit?usp=sharing"",""สงขลา!I519"")"),0)</f>
        <v>0</v>
      </c>
      <c r="J624" s="194">
        <f ca="1">IFERROR(__xludf.DUMMYFUNCTION("IMPORTRANGE(""https://docs.google.com/spreadsheets/d/1IYY_tgx_IHuhSq3AJ5eI5OnqOPBNLWSHKh2a30DoXe8/edit?usp=sharing"",""สงขลา!J519"")"),0)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IFERROR(__xludf.DUMMYFUNCTION("IMPORTRANGE(""https://docs.google.com/spreadsheets/d/1IYY_tgx_IHuhSq3AJ5eI5OnqOPBNLWSHKh2a30DoXe8/edit?usp=sharing"",""สงขลา!I520"")"),0)</f>
        <v>0</v>
      </c>
      <c r="J625" s="195">
        <f ca="1">IFERROR(__xludf.DUMMYFUNCTION("IMPORTRANGE(""https://docs.google.com/spreadsheets/d/1IYY_tgx_IHuhSq3AJ5eI5OnqOPBNLWSHKh2a30DoXe8/edit?usp=sharing"",""สงขลา!J520"")"),0)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IFERROR(__xludf.DUMMYFUNCTION("IMPORTRANGE(""https://docs.google.com/spreadsheets/d/1IYY_tgx_IHuhSq3AJ5eI5OnqOPBNLWSHKh2a30DoXe8/edit?usp=sharing"",""สงขลา!I521"")"),0)</f>
        <v>0</v>
      </c>
      <c r="J626" s="195">
        <f ca="1">IFERROR(__xludf.DUMMYFUNCTION("IMPORTRANGE(""https://docs.google.com/spreadsheets/d/1IYY_tgx_IHuhSq3AJ5eI5OnqOPBNLWSHKh2a30DoXe8/edit?usp=sharing"",""สงขลา!J521"")"),0)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IFERROR(__xludf.DUMMYFUNCTION("IMPORTRANGE(""https://docs.google.com/spreadsheets/d/1IYY_tgx_IHuhSq3AJ5eI5OnqOPBNLWSHKh2a30DoXe8/edit?usp=sharing"",""สงขลา!I523"")"),3312075.76)</f>
        <v>3312075.76</v>
      </c>
      <c r="J628" s="347">
        <f ca="1">IFERROR(__xludf.DUMMYFUNCTION("IMPORTRANGE(""https://docs.google.com/spreadsheets/d/1IYY_tgx_IHuhSq3AJ5eI5OnqOPBNLWSHKh2a30DoXe8/edit?usp=sharing"",""สงขลา!J523"")"),2029128.23)</f>
        <v>2029128.23</v>
      </c>
      <c r="K628" s="348">
        <f t="shared" ref="K628:K635" ca="1" si="129">IF(I628&gt;0,J628*100/I628,0)</f>
        <v>61.264547583899471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IFERROR(__xludf.DUMMYFUNCTION("IMPORTRANGE(""https://docs.google.com/spreadsheets/d/1IYY_tgx_IHuhSq3AJ5eI5OnqOPBNLWSHKh2a30DoXe8/edit?usp=sharing"",""สงขลา!I524"")"),265)</f>
        <v>265</v>
      </c>
      <c r="J629" s="347">
        <f ca="1">IFERROR(__xludf.DUMMYFUNCTION("IMPORTRANGE(""https://docs.google.com/spreadsheets/d/1IYY_tgx_IHuhSq3AJ5eI5OnqOPBNLWSHKh2a30DoXe8/edit?usp=sharing"",""สงขลา!J524"")"),181)</f>
        <v>181</v>
      </c>
      <c r="K629" s="348">
        <f t="shared" ca="1" si="129"/>
        <v>68.301886792452834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IFERROR(__xludf.DUMMYFUNCTION("IMPORTRANGE(""https://docs.google.com/spreadsheets/d/1IYY_tgx_IHuhSq3AJ5eI5OnqOPBNLWSHKh2a30DoXe8/edit?usp=sharing"",""สงขลา!I525"")"),927206.85)</f>
        <v>927206.85</v>
      </c>
      <c r="J630" s="347">
        <f ca="1">IFERROR(__xludf.DUMMYFUNCTION("IMPORTRANGE(""https://docs.google.com/spreadsheets/d/1IYY_tgx_IHuhSq3AJ5eI5OnqOPBNLWSHKh2a30DoXe8/edit?usp=sharing"",""สงขลา!J525"")"),223131.47)</f>
        <v>223131.47</v>
      </c>
      <c r="K630" s="348">
        <f t="shared" ca="1" si="129"/>
        <v>24.064907415211611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IFERROR(__xludf.DUMMYFUNCTION("IMPORTRANGE(""https://docs.google.com/spreadsheets/d/1IYY_tgx_IHuhSq3AJ5eI5OnqOPBNLWSHKh2a30DoXe8/edit?usp=sharing"",""สงขลา!J526"")"),38)</f>
        <v>38</v>
      </c>
      <c r="K631" s="348">
        <f t="shared" ca="1" si="129"/>
        <v>90.476190476190482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IFERROR(__xludf.DUMMYFUNCTION("IMPORTRANGE(""https://docs.google.com/spreadsheets/d/1IYY_tgx_IHuhSq3AJ5eI5OnqOPBNLWSHKh2a30DoXe8/edit?usp=sharing"",""สงขลา!I529"")"),1800000)</f>
        <v>1800000</v>
      </c>
      <c r="J634" s="347">
        <f ca="1">IFERROR(__xludf.DUMMYFUNCTION("IMPORTRANGE(""https://docs.google.com/spreadsheets/d/1IYY_tgx_IHuhSq3AJ5eI5OnqOPBNLWSHKh2a30DoXe8/edit?usp=sharing"",""สงขลา!J529"")"),1680000)</f>
        <v>1680000</v>
      </c>
      <c r="K634" s="348">
        <f t="shared" ca="1" si="129"/>
        <v>93.333333333333329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IFERROR(__xludf.DUMMYFUNCTION("IMPORTRANGE(""https://docs.google.com/spreadsheets/d/1IYY_tgx_IHuhSq3AJ5eI5OnqOPBNLWSHKh2a30DoXe8/edit?usp=sharing"",""สงขลา!I530"")"),36)</f>
        <v>36</v>
      </c>
      <c r="J635" s="518">
        <f ca="1">IFERROR(__xludf.DUMMYFUNCTION("IMPORTRANGE(""https://docs.google.com/spreadsheets/d/1IYY_tgx_IHuhSq3AJ5eI5OnqOPBNLWSHKh2a30DoXe8/edit?usp=sharing"",""สงขลา!J530"")"),36)</f>
        <v>36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IFERROR(__xludf.DUMMYFUNCTION("IMPORTRANGE(""https://docs.google.com/spreadsheets/d/1IYY_tgx_IHuhSq3AJ5eI5OnqOPBNLWSHKh2a30DoXe8/edit?usp=sharing"",""สงขลา!J541"")"),0)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IFERROR(__xludf.DUMMYFUNCTION("IMPORTRANGE(""https://docs.google.com/spreadsheets/d/1IYY_tgx_IHuhSq3AJ5eI5OnqOPBNLWSHKh2a30DoXe8/edit?usp=sharing"",""สงขลา!J542"")"),0)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IFERROR(__xludf.DUMMYFUNCTION("IMPORTRANGE(""https://docs.google.com/spreadsheets/d/1IYY_tgx_IHuhSq3AJ5eI5OnqOPBNLWSHKh2a30DoXe8/edit?usp=sharing"",""สงขลา!I543"")"),0)</f>
        <v>0</v>
      </c>
      <c r="J648" s="547">
        <f ca="1">IFERROR(__xludf.DUMMYFUNCTION("IMPORTRANGE(""https://docs.google.com/spreadsheets/d/1IYY_tgx_IHuhSq3AJ5eI5OnqOPBNLWSHKh2a30DoXe8/edit?usp=sharing"",""สงขลา!J543"")"),0)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IFERROR(__xludf.DUMMYFUNCTION("IMPORTRANGE(""https://docs.google.com/spreadsheets/d/1IYY_tgx_IHuhSq3AJ5eI5OnqOPBNLWSHKh2a30DoXe8/edit?usp=sharing"",""สงขลา!L543"")"),0)</f>
        <v>0</v>
      </c>
      <c r="M648" s="534"/>
      <c r="N648" s="549">
        <f ca="1">IFERROR(__xludf.DUMMYFUNCTION("IMPORTRANGE(""https://docs.google.com/spreadsheets/d/1IYY_tgx_IHuhSq3AJ5eI5OnqOPBNLWSHKh2a30DoXe8/edit?usp=sharing"",""สงขลา!M543"")"),0)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IFERROR(__xludf.DUMMYFUNCTION("IMPORTRANGE(""https://docs.google.com/spreadsheets/d/1IYY_tgx_IHuhSq3AJ5eI5OnqOPBNLWSHKh2a30DoXe8/edit?usp=sharing"",""สงขลา!I544"")"),0)</f>
        <v>0</v>
      </c>
      <c r="J649" s="547">
        <f ca="1">IFERROR(__xludf.DUMMYFUNCTION("IMPORTRANGE(""https://docs.google.com/spreadsheets/d/1IYY_tgx_IHuhSq3AJ5eI5OnqOPBNLWSHKh2a30DoXe8/edit?usp=sharing"",""สงขลา!J544"")"),0)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IFERROR(__xludf.DUMMYFUNCTION("IMPORTRANGE(""https://docs.google.com/spreadsheets/d/1IYY_tgx_IHuhSq3AJ5eI5OnqOPBNLWSHKh2a30DoXe8/edit?usp=sharing"",""สงขลา!L544"")"),0)</f>
        <v>0</v>
      </c>
      <c r="M649" s="534"/>
      <c r="N649" s="549">
        <f ca="1">IFERROR(__xludf.DUMMYFUNCTION("IMPORTRANGE(""https://docs.google.com/spreadsheets/d/1IYY_tgx_IHuhSq3AJ5eI5OnqOPBNLWSHKh2a30DoXe8/edit?usp=sharing"",""สงขลา!M544"")"),0)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IFERROR(__xludf.DUMMYFUNCTION("IMPORTRANGE(""https://docs.google.com/spreadsheets/d/1IYY_tgx_IHuhSq3AJ5eI5OnqOPBNLWSHKh2a30DoXe8/edit?usp=sharing"",""สงขลา!I545"")"),0)</f>
        <v>0</v>
      </c>
      <c r="J650" s="547">
        <f ca="1">IFERROR(__xludf.DUMMYFUNCTION("IMPORTRANGE(""https://docs.google.com/spreadsheets/d/1IYY_tgx_IHuhSq3AJ5eI5OnqOPBNLWSHKh2a30DoXe8/edit?usp=sharing"",""สงขลา!J545"")"),0)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IFERROR(__xludf.DUMMYFUNCTION("IMPORTRANGE(""https://docs.google.com/spreadsheets/d/1IYY_tgx_IHuhSq3AJ5eI5OnqOPBNLWSHKh2a30DoXe8/edit?usp=sharing"",""สงขลา!L545"")"),0)</f>
        <v>0</v>
      </c>
      <c r="M650" s="534"/>
      <c r="N650" s="549">
        <f ca="1">IFERROR(__xludf.DUMMYFUNCTION("IMPORTRANGE(""https://docs.google.com/spreadsheets/d/1IYY_tgx_IHuhSq3AJ5eI5OnqOPBNLWSHKh2a30DoXe8/edit?usp=sharing"",""สงขลา!M545"")"),0)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IFERROR(__xludf.DUMMYFUNCTION("IMPORTRANGE(""https://docs.google.com/spreadsheets/d/1IYY_tgx_IHuhSq3AJ5eI5OnqOPBNLWSHKh2a30DoXe8/edit?usp=sharing"",""สงขลา!I546"")"),0)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IFERROR(__xludf.DUMMYFUNCTION("IMPORTRANGE(""https://docs.google.com/spreadsheets/d/1IYY_tgx_IHuhSq3AJ5eI5OnqOPBNLWSHKh2a30DoXe8/edit?usp=sharing"",""สงขลา!L546"")"),0)</f>
        <v>0</v>
      </c>
      <c r="M651" s="534"/>
      <c r="N651" s="549">
        <f ca="1">IFERROR(__xludf.DUMMYFUNCTION("IMPORTRANGE(""https://docs.google.com/spreadsheets/d/1IYY_tgx_IHuhSq3AJ5eI5OnqOPBNLWSHKh2a30DoXe8/edit?usp=sharing"",""สงขลา!M546"")"),0)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IFERROR(__xludf.DUMMYFUNCTION("IMPORTRANGE(""https://docs.google.com/spreadsheets/d/1IYY_tgx_IHuhSq3AJ5eI5OnqOPBNLWSHKh2a30DoXe8/edit?usp=sharing"",""สงขลา!J547"")"),0)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IFERROR(__xludf.DUMMYFUNCTION("IMPORTRANGE(""https://docs.google.com/spreadsheets/d/1IYY_tgx_IHuhSq3AJ5eI5OnqOPBNLWSHKh2a30DoXe8/edit?usp=sharing"",""สงขลา!J548"")"),0)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IFERROR(__xludf.DUMMYFUNCTION("IMPORTRANGE(""https://docs.google.com/spreadsheets/d/1IYY_tgx_IHuhSq3AJ5eI5OnqOPBNLWSHKh2a30DoXe8/edit?usp=sharing"",""สงขลา!J550"")"),0)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IFERROR(__xludf.DUMMYFUNCTION("IMPORTRANGE(""https://docs.google.com/spreadsheets/d/1IYY_tgx_IHuhSq3AJ5eI5OnqOPBNLWSHKh2a30DoXe8/edit?usp=sharing"",""สงขลา!J551"")"),0)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IFERROR(__xludf.DUMMYFUNCTION("IMPORTRANGE(""https://docs.google.com/spreadsheets/d/1IYY_tgx_IHuhSq3AJ5eI5OnqOPBNLWSHKh2a30DoXe8/edit?usp=sharing"",""สงขลา!J552"")"),0)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IFERROR(__xludf.DUMMYFUNCTION("IMPORTRANGE(""https://docs.google.com/spreadsheets/d/1IYY_tgx_IHuhSq3AJ5eI5OnqOPBNLWSHKh2a30DoXe8/edit?usp=sharing"",""สงขลา!J553"")"),0)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IFERROR(__xludf.DUMMYFUNCTION("IMPORTRANGE(""https://docs.google.com/spreadsheets/d/1IYY_tgx_IHuhSq3AJ5eI5OnqOPBNLWSHKh2a30DoXe8/edit?usp=sharing"",""สงขลา!J554"")"),0)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IFERROR(__xludf.DUMMYFUNCTION("IMPORTRANGE(""https://docs.google.com/spreadsheets/d/1IYY_tgx_IHuhSq3AJ5eI5OnqOPBNLWSHKh2a30DoXe8/edit?usp=sharing"",""สงขลา!J555"")"),0)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IFERROR(__xludf.DUMMYFUNCTION("IMPORTRANGE(""https://docs.google.com/spreadsheets/d/1IYY_tgx_IHuhSq3AJ5eI5OnqOPBNLWSHKh2a30DoXe8/edit?usp=sharing"",""สงขลา!J556"")"),0)</f>
        <v>0</v>
      </c>
      <c r="K661" s="548"/>
      <c r="L661" s="535">
        <f ca="1">IFERROR(__xludf.DUMMYFUNCTION("IMPORTRANGE(""https://docs.google.com/spreadsheets/d/1IYY_tgx_IHuhSq3AJ5eI5OnqOPBNLWSHKh2a30DoXe8/edit?usp=sharing"",""สงขลา!L556"")"),0)</f>
        <v>0</v>
      </c>
      <c r="M661" s="534"/>
      <c r="N661" s="549">
        <f ca="1">IFERROR(__xludf.DUMMYFUNCTION("IMPORTRANGE(""https://docs.google.com/spreadsheets/d/1IYY_tgx_IHuhSq3AJ5eI5OnqOPBNLWSHKh2a30DoXe8/edit?usp=sharing"",""สงขลา!M556"")"),0)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IFERROR(__xludf.DUMMYFUNCTION("IMPORTRANGE(""https://docs.google.com/spreadsheets/d/1IYY_tgx_IHuhSq3AJ5eI5OnqOPBNLWSHKh2a30DoXe8/edit?usp=sharing"",""สงขลา!J557"")"),0)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IFERROR(__xludf.DUMMYFUNCTION("IMPORTRANGE(""https://docs.google.com/spreadsheets/d/1IYY_tgx_IHuhSq3AJ5eI5OnqOPBNLWSHKh2a30DoXe8/edit?usp=sharing"",""สงขลา!I558"")"),0)</f>
        <v>0</v>
      </c>
      <c r="J663" s="547">
        <f ca="1">IFERROR(__xludf.DUMMYFUNCTION("IMPORTRANGE(""https://docs.google.com/spreadsheets/d/1IYY_tgx_IHuhSq3AJ5eI5OnqOPBNLWSHKh2a30DoXe8/edit?usp=sharing"",""สงขลา!J558"")"),0)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IFERROR(__xludf.DUMMYFUNCTION("IMPORTRANGE(""https://docs.google.com/spreadsheets/d/1IYY_tgx_IHuhSq3AJ5eI5OnqOPBNLWSHKh2a30DoXe8/edit?usp=sharing"",""สงขลา!I560"")"),0)</f>
        <v>0</v>
      </c>
      <c r="J665" s="547">
        <f ca="1">IFERROR(__xludf.DUMMYFUNCTION("IMPORTRANGE(""https://docs.google.com/spreadsheets/d/1IYY_tgx_IHuhSq3AJ5eI5OnqOPBNLWSHKh2a30DoXe8/edit?usp=sharing"",""สงขลา!J560"")"),0)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IFERROR(__xludf.DUMMYFUNCTION("IMPORTRANGE(""https://docs.google.com/spreadsheets/d/1IYY_tgx_IHuhSq3AJ5eI5OnqOPBNLWSHKh2a30DoXe8/edit?usp=sharing"",""สงขลา!L560"")"),0)</f>
        <v>0</v>
      </c>
      <c r="M665" s="534"/>
      <c r="N665" s="549">
        <f ca="1">IFERROR(__xludf.DUMMYFUNCTION("IMPORTRANGE(""https://docs.google.com/spreadsheets/d/1IYY_tgx_IHuhSq3AJ5eI5OnqOPBNLWSHKh2a30DoXe8/edit?usp=sharing"",""สงขลา!M560"")"),0)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IFERROR(__xludf.DUMMYFUNCTION("IMPORTRANGE(""https://docs.google.com/spreadsheets/d/1IYY_tgx_IHuhSq3AJ5eI5OnqOPBNLWSHKh2a30DoXe8/edit?usp=sharing"",""สงขลา!J561"")"),0)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IFERROR(__xludf.DUMMYFUNCTION("IMPORTRANGE(""https://docs.google.com/spreadsheets/d/1IYY_tgx_IHuhSq3AJ5eI5OnqOPBNLWSHKh2a30DoXe8/edit?usp=sharing"",""สงขลา!J562"")"),0)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IFERROR(__xludf.DUMMYFUNCTION("IMPORTRANGE(""https://docs.google.com/spreadsheets/d/1IYY_tgx_IHuhSq3AJ5eI5OnqOPBNLWSHKh2a30DoXe8/edit?usp=sharing"",""สงขลา!I563"")"),0)</f>
        <v>0</v>
      </c>
      <c r="J668" s="547">
        <f ca="1">IFERROR(__xludf.DUMMYFUNCTION("IMPORTRANGE(""https://docs.google.com/spreadsheets/d/1IYY_tgx_IHuhSq3AJ5eI5OnqOPBNLWSHKh2a30DoXe8/edit?usp=sharing"",""สงขลา!J563"")"),0)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IFERROR(__xludf.DUMMYFUNCTION("IMPORTRANGE(""https://docs.google.com/spreadsheets/d/1IYY_tgx_IHuhSq3AJ5eI5OnqOPBNLWSHKh2a30DoXe8/edit?usp=sharing"",""สงขลา!L563"")"),0)</f>
        <v>0</v>
      </c>
      <c r="M668" s="534"/>
      <c r="N668" s="549">
        <f ca="1">IFERROR(__xludf.DUMMYFUNCTION("IMPORTRANGE(""https://docs.google.com/spreadsheets/d/1IYY_tgx_IHuhSq3AJ5eI5OnqOPBNLWSHKh2a30DoXe8/edit?usp=sharing"",""สงขลา!M563"")"),0)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IFERROR(__xludf.DUMMYFUNCTION("IMPORTRANGE(""https://docs.google.com/spreadsheets/d/1IYY_tgx_IHuhSq3AJ5eI5OnqOPBNLWSHKh2a30DoXe8/edit?usp=sharing"",""สงขลา!J564"")"),0)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IFERROR(__xludf.DUMMYFUNCTION("IMPORTRANGE(""https://docs.google.com/spreadsheets/d/1IYY_tgx_IHuhSq3AJ5eI5OnqOPBNLWSHKh2a30DoXe8/edit?usp=sharing"",""สงขลา!J565"")"),0)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IFERROR(__xludf.DUMMYFUNCTION("IMPORTRANGE(""https://docs.google.com/spreadsheets/d/1IYY_tgx_IHuhSq3AJ5eI5OnqOPBNLWSHKh2a30DoXe8/edit?usp=sharing"",""สงขลา!I566"")"),0)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IFERROR(__xludf.DUMMYFUNCTION("IMPORTRANGE(""https://docs.google.com/spreadsheets/d/1IYY_tgx_IHuhSq3AJ5eI5OnqOPBNLWSHKh2a30DoXe8/edit?usp=sharing"",""สงขลา!L566"")"),0)</f>
        <v>0</v>
      </c>
      <c r="M671" s="534"/>
      <c r="N671" s="549">
        <f ca="1">IFERROR(__xludf.DUMMYFUNCTION("IMPORTRANGE(""https://docs.google.com/spreadsheets/d/1IYY_tgx_IHuhSq3AJ5eI5OnqOPBNLWSHKh2a30DoXe8/edit?usp=sharing"",""สงขลา!M566"")"),0)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IFERROR(__xludf.DUMMYFUNCTION("IMPORTRANGE(""https://docs.google.com/spreadsheets/d/1IYY_tgx_IHuhSq3AJ5eI5OnqOPBNLWSHKh2a30DoXe8/edit?usp=sharing"",""สงขลา!J567"")"),0)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IFERROR(__xludf.DUMMYFUNCTION("IMPORTRANGE(""https://docs.google.com/spreadsheets/d/1IYY_tgx_IHuhSq3AJ5eI5OnqOPBNLWSHKh2a30DoXe8/edit?usp=sharing"",""สงขลา!J568"")"),0)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IFERROR(__xludf.DUMMYFUNCTION("IMPORTRANGE(""https://docs.google.com/spreadsheets/d/1IYY_tgx_IHuhSq3AJ5eI5OnqOPBNLWSHKh2a30DoXe8/edit?usp=sharing"",""สงขลา!J569"")"),0)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IFERROR(__xludf.DUMMYFUNCTION("IMPORTRANGE(""https://docs.google.com/spreadsheets/d/1IYY_tgx_IHuhSq3AJ5eI5OnqOPBNLWSHKh2a30DoXe8/edit?usp=sharing"",""สงขลา!J570"")"),0)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IFERROR(__xludf.DUMMYFUNCTION("IMPORTRANGE(""https://docs.google.com/spreadsheets/d/1IYY_tgx_IHuhSq3AJ5eI5OnqOPBNLWSHKh2a30DoXe8/edit?usp=sharing"",""สงขลา!J571"")"),0)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IFERROR(__xludf.DUMMYFUNCTION("IMPORTRANGE(""https://docs.google.com/spreadsheets/d/1IYY_tgx_IHuhSq3AJ5eI5OnqOPBNLWSHKh2a30DoXe8/edit?usp=sharing"",""สงขลา!J572"")"),0)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286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2428286</v>
      </c>
      <c r="M8" s="23">
        <f t="shared" ca="1" si="0"/>
        <v>1939022</v>
      </c>
      <c r="N8" s="23">
        <f t="shared" ca="1" si="0"/>
        <v>1818009</v>
      </c>
      <c r="O8" s="22">
        <f t="shared" ref="O8:O16" ca="1" si="1">IF(L8&gt;0,N8*100/L8,0)</f>
        <v>74.867993308860648</v>
      </c>
      <c r="P8" s="22">
        <f t="shared" ref="P8:P16" ca="1" si="2">IF(M8&gt;0,N8*100/M8,0)</f>
        <v>93.759070294199859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2428286</v>
      </c>
      <c r="M10" s="30">
        <f t="shared" ca="1" si="4"/>
        <v>1939022</v>
      </c>
      <c r="N10" s="30">
        <f t="shared" ca="1" si="4"/>
        <v>1818009</v>
      </c>
      <c r="O10" s="29">
        <f t="shared" ca="1" si="1"/>
        <v>74.867993308860648</v>
      </c>
      <c r="P10" s="29">
        <f t="shared" ca="1" si="2"/>
        <v>93.759070294199859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2259286</v>
      </c>
      <c r="M12" s="38">
        <f t="shared" ca="1" si="6"/>
        <v>1770022</v>
      </c>
      <c r="N12" s="38">
        <f t="shared" ca="1" si="6"/>
        <v>1649009</v>
      </c>
      <c r="O12" s="38">
        <f t="shared" ca="1" si="1"/>
        <v>72.988059059366549</v>
      </c>
      <c r="P12" s="38">
        <f t="shared" ca="1" si="2"/>
        <v>93.163192321903338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1344600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914686</v>
      </c>
      <c r="M14" s="38">
        <f t="shared" si="8"/>
        <v>0</v>
      </c>
      <c r="N14" s="38">
        <f t="shared" ca="1" si="8"/>
        <v>371492.36</v>
      </c>
      <c r="O14" s="41">
        <f t="shared" ca="1" si="1"/>
        <v>40.614195472544679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1926810</v>
      </c>
      <c r="M18" s="23">
        <f t="shared" ca="1" si="11"/>
        <v>1939022</v>
      </c>
      <c r="N18" s="23">
        <f t="shared" ca="1" si="11"/>
        <v>1446516.64</v>
      </c>
      <c r="O18" s="22">
        <f t="shared" ref="O18:O20" ca="1" si="12">IF(L18&gt;0,N18*100/L18,0)</f>
        <v>75.073133313611621</v>
      </c>
      <c r="P18" s="22">
        <f t="shared" ref="P18:P26" ca="1" si="13">IF(M18&gt;0,N18*100/M18,0)</f>
        <v>74.600321192848767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1926810</v>
      </c>
      <c r="M20" s="30">
        <f t="shared" ca="1" si="15"/>
        <v>1939022</v>
      </c>
      <c r="N20" s="30">
        <f t="shared" ca="1" si="15"/>
        <v>1446516.64</v>
      </c>
      <c r="O20" s="29">
        <f t="shared" ca="1" si="12"/>
        <v>75.073133313611621</v>
      </c>
      <c r="P20" s="29">
        <f t="shared" ca="1" si="13"/>
        <v>74.600321192848767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1757810</v>
      </c>
      <c r="M22" s="42">
        <f t="shared" ca="1" si="18"/>
        <v>1770022</v>
      </c>
      <c r="N22" s="41">
        <f t="shared" ca="1" si="18"/>
        <v>1277516.6399999999</v>
      </c>
      <c r="O22" s="41">
        <f t="shared" ca="1" si="17"/>
        <v>72.676605548950107</v>
      </c>
      <c r="P22" s="41">
        <f t="shared" ca="1" si="13"/>
        <v>72.175184263246436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1344600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413210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501476</v>
      </c>
      <c r="M28" s="23">
        <f t="shared" si="23"/>
        <v>0</v>
      </c>
      <c r="N28" s="23">
        <f t="shared" ca="1" si="23"/>
        <v>371492.36</v>
      </c>
      <c r="O28" s="22">
        <f t="shared" ref="O28:O30" ca="1" si="24">IF(L28&gt;0,N28*100/L28,0)</f>
        <v>74.079788464452932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501476</v>
      </c>
      <c r="M30" s="30">
        <f t="shared" si="27"/>
        <v>0</v>
      </c>
      <c r="N30" s="30">
        <f t="shared" ca="1" si="27"/>
        <v>371492.36</v>
      </c>
      <c r="O30" s="29">
        <f t="shared" ca="1" si="24"/>
        <v>74.079788464452932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501476</v>
      </c>
      <c r="M32" s="41">
        <f t="shared" si="30"/>
        <v>0</v>
      </c>
      <c r="N32" s="41">
        <f t="shared" ca="1" si="30"/>
        <v>371492.36</v>
      </c>
      <c r="O32" s="41">
        <f t="shared" ca="1" si="29"/>
        <v>74.079788464452932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501476</v>
      </c>
      <c r="M34" s="41">
        <f t="shared" si="32"/>
        <v>0</v>
      </c>
      <c r="N34" s="41">
        <f t="shared" ca="1" si="32"/>
        <v>371492.36</v>
      </c>
      <c r="O34" s="41">
        <f t="shared" ca="1" si="29"/>
        <v>74.079788464452932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1926810</v>
      </c>
      <c r="M37" s="55">
        <f t="shared" ca="1" si="33"/>
        <v>1939022</v>
      </c>
      <c r="N37" s="55">
        <f t="shared" ca="1" si="33"/>
        <v>1446516.64</v>
      </c>
      <c r="O37" s="56">
        <f t="shared" ca="1" si="29"/>
        <v>75.073133313611621</v>
      </c>
      <c r="P37" s="56">
        <f t="shared" ca="1" si="25"/>
        <v>74.600321192848767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306800</v>
      </c>
      <c r="N41" s="79">
        <f t="shared" ca="1" si="34"/>
        <v>216401.73</v>
      </c>
      <c r="O41" s="78">
        <f t="shared" ref="O41:O43" ca="1" si="35">IF(L41&gt;0,N41*100/L41,0)</f>
        <v>70.535114080834418</v>
      </c>
      <c r="P41" s="78">
        <f t="shared" ref="P41:P43" ca="1" si="36">IF(M41&gt;0,N41*100/M41,0)</f>
        <v>70.535114080834418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306800</v>
      </c>
      <c r="N43" s="79">
        <f t="shared" ca="1" si="38"/>
        <v>216401.73</v>
      </c>
      <c r="O43" s="78">
        <f t="shared" ca="1" si="35"/>
        <v>70.535114080834418</v>
      </c>
      <c r="P43" s="78">
        <f t="shared" ca="1" si="36"/>
        <v>70.535114080834418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306800</v>
      </c>
      <c r="M45" s="91">
        <f ca="1">IFERROR(__xludf.DUMMYFUNCTION("IMPORTRANGE(""https://docs.google.com/spreadsheets/d/1Yj_ptqi66GCucihVvJfMjLAmec39IyEx_6qawtMGysU/edit?usp=sharing"",""สบก!Q93"")"),306800)</f>
        <v>306800</v>
      </c>
      <c r="N45" s="91">
        <f ca="1">IFERROR(__xludf.DUMMYFUNCTION("IMPORTRANGE(""https://docs.google.com/spreadsheets/d/1Yj_ptqi66GCucihVvJfMjLAmec39IyEx_6qawtMGysU/edit?usp=sharing"",""สบก!R93"")"),216401.73)</f>
        <v>216401.73</v>
      </c>
      <c r="O45" s="92">
        <f ca="1">IF(L45&gt;0,N45*100/L45,0)</f>
        <v>70.535114080834418</v>
      </c>
      <c r="P45" s="92">
        <f ca="1">IF(M45&gt;0,N45*100/M45,0)</f>
        <v>70.535114080834418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375000</v>
      </c>
      <c r="M53" s="125">
        <f t="shared" ca="1" si="39"/>
        <v>340212</v>
      </c>
      <c r="N53" s="125">
        <f t="shared" ca="1" si="39"/>
        <v>246712</v>
      </c>
      <c r="O53" s="124">
        <f t="shared" ref="O53:O55" ca="1" si="40">IF(L53&gt;0,N53*100/L53,0)</f>
        <v>65.789866666666668</v>
      </c>
      <c r="P53" s="124">
        <f t="shared" ref="P53:P55" ca="1" si="41">IF(M53&gt;0,N53*100/M53,0)</f>
        <v>72.517136373790464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375000</v>
      </c>
      <c r="M55" s="125">
        <f t="shared" ca="1" si="43"/>
        <v>340212</v>
      </c>
      <c r="N55" s="125">
        <f t="shared" ca="1" si="43"/>
        <v>246712</v>
      </c>
      <c r="O55" s="124">
        <f t="shared" ca="1" si="40"/>
        <v>65.789866666666668</v>
      </c>
      <c r="P55" s="124">
        <f t="shared" ca="1" si="41"/>
        <v>72.517136373790464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375000</v>
      </c>
      <c r="M57" s="91">
        <f ca="1">IFERROR(__xludf.DUMMYFUNCTION("IMPORTRANGE(""https://docs.google.com/spreadsheets/d/1Yj_ptqi66GCucihVvJfMjLAmec39IyEx_6qawtMGysU/edit?usp=sharing"",""สบก!Z93"")"),340212)</f>
        <v>340212</v>
      </c>
      <c r="N57" s="91">
        <f ca="1">IFERROR(__xludf.DUMMYFUNCTION("IMPORTRANGE(""https://docs.google.com/spreadsheets/d/1Yj_ptqi66GCucihVvJfMjLAmec39IyEx_6qawtMGysU/edit?usp=sharing"",""สบก!AA93"")"),246712)</f>
        <v>246712</v>
      </c>
      <c r="O57" s="92">
        <f ca="1">IF(L57&gt;0,N57*100/L57,0)</f>
        <v>65.789866666666668</v>
      </c>
      <c r="P57" s="92">
        <f ca="1">IF(M57&gt;0,N57*100/M57,0)</f>
        <v>72.517136373790464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IFERROR(__xludf.DUMMYFUNCTION("IMPORTRANGE(""https://docs.google.com/spreadsheets/d/1Yj_ptqi66GCucihVvJfMjLAmec39IyEx_6qawtMGysU/edit?usp=sharing"",""สบก!V93"")"),375000)</f>
        <v>375000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IFERROR(__xludf.DUMMYFUNCTION("IMPORTRANGE(""https://docs.google.com/spreadsheets/d/1Yj_ptqi66GCucihVvJfMjLAmec39IyEx_6qawtMGysU/edit?usp=sharing"",""สบก!AI93"")"),0)</f>
        <v>0</v>
      </c>
      <c r="N70" s="174">
        <f ca="1">IFERROR(__xludf.DUMMYFUNCTION("IMPORTRANGE(""https://docs.google.com/spreadsheets/d/1Yj_ptqi66GCucihVvJfMjLAmec39IyEx_6qawtMGysU/edit?usp=sharing"",""สบก!AJ93"")"),0)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IFERROR(__xludf.DUMMYFUNCTION("IMPORTRANGE(""https://docs.google.com/spreadsheets/d/1IYY_tgx_IHuhSq3AJ5eI5OnqOPBNLWSHKh2a30DoXe8/edit?usp=sharing"",""สตูล!J16"")"),0)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IFERROR(__xludf.DUMMYFUNCTION("IMPORTRANGE(""https://docs.google.com/spreadsheets/d/1IYY_tgx_IHuhSq3AJ5eI5OnqOPBNLWSHKh2a30DoXe8/edit?usp=sharing"",""สตูล!J17"")"),0)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IFERROR(__xludf.DUMMYFUNCTION("IMPORTRANGE(""https://docs.google.com/spreadsheets/d/1IYY_tgx_IHuhSq3AJ5eI5OnqOPBNLWSHKh2a30DoXe8/edit?usp=sharing"",""สตูล!J18"")"),0)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IFERROR(__xludf.DUMMYFUNCTION("IMPORTRANGE(""https://docs.google.com/spreadsheets/d/1IYY_tgx_IHuhSq3AJ5eI5OnqOPBNLWSHKh2a30DoXe8/edit?usp=sharing"",""สตูล!J19"")"),0)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IFERROR(__xludf.DUMMYFUNCTION("IMPORTRANGE(""https://docs.google.com/spreadsheets/d/1IYY_tgx_IHuhSq3AJ5eI5OnqOPBNLWSHKh2a30DoXe8/edit?usp=sharing"",""สตูล!I20"")"),0)</f>
        <v>0</v>
      </c>
      <c r="J80" s="207">
        <f ca="1">IFERROR(__xludf.DUMMYFUNCTION("IMPORTRANGE(""https://docs.google.com/spreadsheets/d/1IYY_tgx_IHuhSq3AJ5eI5OnqOPBNLWSHKh2a30DoXe8/edit?usp=sharing"",""สตูล!J20"")"),0)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IFERROR(__xludf.DUMMYFUNCTION("IMPORTRANGE(""https://docs.google.com/spreadsheets/d/1IYY_tgx_IHuhSq3AJ5eI5OnqOPBNLWSHKh2a30DoXe8/edit?usp=sharing"",""สตูล!I21"")"),0)</f>
        <v>0</v>
      </c>
      <c r="J81" s="207">
        <f ca="1">IFERROR(__xludf.DUMMYFUNCTION("IMPORTRANGE(""https://docs.google.com/spreadsheets/d/1IYY_tgx_IHuhSq3AJ5eI5OnqOPBNLWSHKh2a30DoXe8/edit?usp=sharing"",""สตูล!J21"")"),0)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IFERROR(__xludf.DUMMYFUNCTION("IMPORTRANGE(""https://docs.google.com/spreadsheets/d/1IYY_tgx_IHuhSq3AJ5eI5OnqOPBNLWSHKh2a30DoXe8/edit?usp=sharing"",""สตูล!I22"")"),0)</f>
        <v>0</v>
      </c>
      <c r="J82" s="210">
        <f ca="1">IFERROR(__xludf.DUMMYFUNCTION("IMPORTRANGE(""https://docs.google.com/spreadsheets/d/1IYY_tgx_IHuhSq3AJ5eI5OnqOPBNLWSHKh2a30DoXe8/edit?usp=sharing"",""สตูล!J22"")"),0)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IFERROR(__xludf.DUMMYFUNCTION("IMPORTRANGE(""https://docs.google.com/spreadsheets/d/1IYY_tgx_IHuhSq3AJ5eI5OnqOPBNLWSHKh2a30DoXe8/edit?usp=sharing"",""สตูล!I23"")"),0)</f>
        <v>0</v>
      </c>
      <c r="J83" s="210">
        <f ca="1">IFERROR(__xludf.DUMMYFUNCTION("IMPORTRANGE(""https://docs.google.com/spreadsheets/d/1IYY_tgx_IHuhSq3AJ5eI5OnqOPBNLWSHKh2a30DoXe8/edit?usp=sharing"",""สตูล!J23"")"),0)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IFERROR(__xludf.DUMMYFUNCTION("IMPORTRANGE(""https://docs.google.com/spreadsheets/d/1IYY_tgx_IHuhSq3AJ5eI5OnqOPBNLWSHKh2a30DoXe8/edit?usp=sharing"",""สตูล!I24"")"),0)</f>
        <v>0</v>
      </c>
      <c r="J84" s="195">
        <f ca="1">IFERROR(__xludf.DUMMYFUNCTION("IMPORTRANGE(""https://docs.google.com/spreadsheets/d/1IYY_tgx_IHuhSq3AJ5eI5OnqOPBNLWSHKh2a30DoXe8/edit?usp=sharing"",""สตูล!J24"")"),0)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IFERROR(__xludf.DUMMYFUNCTION("IMPORTRANGE(""https://docs.google.com/spreadsheets/d/1IYY_tgx_IHuhSq3AJ5eI5OnqOPBNLWSHKh2a30DoXe8/edit?usp=sharing"",""สตูล!I25"")"),0)</f>
        <v>0</v>
      </c>
      <c r="J85" s="195">
        <f ca="1">IFERROR(__xludf.DUMMYFUNCTION("IMPORTRANGE(""https://docs.google.com/spreadsheets/d/1IYY_tgx_IHuhSq3AJ5eI5OnqOPBNLWSHKh2a30DoXe8/edit?usp=sharing"",""สตูล!J25"")"),0)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IFERROR(__xludf.DUMMYFUNCTION("IMPORTRANGE(""https://docs.google.com/spreadsheets/d/1IYY_tgx_IHuhSq3AJ5eI5OnqOPBNLWSHKh2a30DoXe8/edit?usp=sharing"",""สตูล!I26"")"),0)</f>
        <v>0</v>
      </c>
      <c r="J86" s="210">
        <f ca="1">IFERROR(__xludf.DUMMYFUNCTION("IMPORTRANGE(""https://docs.google.com/spreadsheets/d/1IYY_tgx_IHuhSq3AJ5eI5OnqOPBNLWSHKh2a30DoXe8/edit?usp=sharing"",""สตูล!J26"")"),0)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IFERROR(__xludf.DUMMYFUNCTION("IMPORTRANGE(""https://docs.google.com/spreadsheets/d/1IYY_tgx_IHuhSq3AJ5eI5OnqOPBNLWSHKh2a30DoXe8/edit?usp=sharing"",""สตูล!I27"")"),0)</f>
        <v>0</v>
      </c>
      <c r="J87" s="210">
        <f ca="1">IFERROR(__xludf.DUMMYFUNCTION("IMPORTRANGE(""https://docs.google.com/spreadsheets/d/1IYY_tgx_IHuhSq3AJ5eI5OnqOPBNLWSHKh2a30DoXe8/edit?usp=sharing"",""สตูล!J27"")"),0)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IFERROR(__xludf.DUMMYFUNCTION("IMPORTRANGE(""https://docs.google.com/spreadsheets/d/1IYY_tgx_IHuhSq3AJ5eI5OnqOPBNLWSHKh2a30DoXe8/edit?usp=sharing"",""สตูล!I28"")"),0)</f>
        <v>0</v>
      </c>
      <c r="J88" s="210">
        <f ca="1">IFERROR(__xludf.DUMMYFUNCTION("IMPORTRANGE(""https://docs.google.com/spreadsheets/d/1IYY_tgx_IHuhSq3AJ5eI5OnqOPBNLWSHKh2a30DoXe8/edit?usp=sharing"",""สตูล!J28"")"),0)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IFERROR(__xludf.DUMMYFUNCTION("IMPORTRANGE(""https://docs.google.com/spreadsheets/d/1IYY_tgx_IHuhSq3AJ5eI5OnqOPBNLWSHKh2a30DoXe8/edit?usp=sharing"",""สตูล!J29"")"),0)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IFERROR(__xludf.DUMMYFUNCTION("IMPORTRANGE(""https://docs.google.com/spreadsheets/d/1IYY_tgx_IHuhSq3AJ5eI5OnqOPBNLWSHKh2a30DoXe8/edit?usp=sharing"",""สตูล!J30"")"),0)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IFERROR(__xludf.DUMMYFUNCTION("IMPORTRANGE(""https://docs.google.com/spreadsheets/d/1Yj_ptqi66GCucihVvJfMjLAmec39IyEx_6qawtMGysU/edit?usp=sharing"",""สบก!AR93"")"),0)</f>
        <v>0</v>
      </c>
      <c r="N98" s="174">
        <f ca="1">IFERROR(__xludf.DUMMYFUNCTION("IMPORTRANGE(""https://docs.google.com/spreadsheets/d/1Yj_ptqi66GCucihVvJfMjLAmec39IyEx_6qawtMGysU/edit?usp=sharing"",""สบก!AS93"")"),0)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IFERROR(__xludf.DUMMYFUNCTION("IMPORTRANGE(""https://docs.google.com/spreadsheets/d/1Yj_ptqi66GCucihVvJfMjLAmec39IyEx_6qawtMGysU/edit?usp=sharing"",""สบก!AO93"")"),0)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IFERROR(__xludf.DUMMYFUNCTION("IMPORTRANGE(""https://docs.google.com/spreadsheets/d/1IYY_tgx_IHuhSq3AJ5eI5OnqOPBNLWSHKh2a30DoXe8/edit?usp=sharing"",""สตูล!J39"")"),0)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IFERROR(__xludf.DUMMYFUNCTION("IMPORTRANGE(""https://docs.google.com/spreadsheets/d/1IYY_tgx_IHuhSq3AJ5eI5OnqOPBNLWSHKh2a30DoXe8/edit?usp=sharing"",""สตูล!J40"")"),0)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IFERROR(__xludf.DUMMYFUNCTION("IMPORTRANGE(""https://docs.google.com/spreadsheets/d/1IYY_tgx_IHuhSq3AJ5eI5OnqOPBNLWSHKh2a30DoXe8/edit?usp=sharing"",""สตูล!J41"")"),0)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IFERROR(__xludf.DUMMYFUNCTION("IMPORTRANGE(""https://docs.google.com/spreadsheets/d/1IYY_tgx_IHuhSq3AJ5eI5OnqOPBNLWSHKh2a30DoXe8/edit?usp=sharing"",""สตูล!J42"")"),0)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IFERROR(__xludf.DUMMYFUNCTION("IMPORTRANGE(""https://docs.google.com/spreadsheets/d/1IYY_tgx_IHuhSq3AJ5eI5OnqOPBNLWSHKh2a30DoXe8/edit?usp=sharing"",""สตูล!I43"")"),0)</f>
        <v>0</v>
      </c>
      <c r="J108" s="210">
        <f ca="1">IFERROR(__xludf.DUMMYFUNCTION("IMPORTRANGE(""https://docs.google.com/spreadsheets/d/1IYY_tgx_IHuhSq3AJ5eI5OnqOPBNLWSHKh2a30DoXe8/edit?usp=sharing"",""สตูล!J43"")"),0)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IFERROR(__xludf.DUMMYFUNCTION("IMPORTRANGE(""https://docs.google.com/spreadsheets/d/1IYY_tgx_IHuhSq3AJ5eI5OnqOPBNLWSHKh2a30DoXe8/edit?usp=sharing"",""สตูล!I44"")"),0)</f>
        <v>0</v>
      </c>
      <c r="J109" s="210">
        <f ca="1">IFERROR(__xludf.DUMMYFUNCTION("IMPORTRANGE(""https://docs.google.com/spreadsheets/d/1IYY_tgx_IHuhSq3AJ5eI5OnqOPBNLWSHKh2a30DoXe8/edit?usp=sharing"",""สตูล!J44"")"),0)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IFERROR(__xludf.DUMMYFUNCTION("IMPORTRANGE(""https://docs.google.com/spreadsheets/d/1IYY_tgx_IHuhSq3AJ5eI5OnqOPBNLWSHKh2a30DoXe8/edit?usp=sharing"",""สตูล!I45"")"),0)</f>
        <v>0</v>
      </c>
      <c r="J110" s="210">
        <f ca="1">IFERROR(__xludf.DUMMYFUNCTION("IMPORTRANGE(""https://docs.google.com/spreadsheets/d/1IYY_tgx_IHuhSq3AJ5eI5OnqOPBNLWSHKh2a30DoXe8/edit?usp=sharing"",""สตูล!J45"")"),0)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IFERROR(__xludf.DUMMYFUNCTION("IMPORTRANGE(""https://docs.google.com/spreadsheets/d/1IYY_tgx_IHuhSq3AJ5eI5OnqOPBNLWSHKh2a30DoXe8/edit?usp=sharing"",""สตูล!I46"")"),0)</f>
        <v>0</v>
      </c>
      <c r="J111" s="210">
        <f ca="1">IFERROR(__xludf.DUMMYFUNCTION("IMPORTRANGE(""https://docs.google.com/spreadsheets/d/1IYY_tgx_IHuhSq3AJ5eI5OnqOPBNLWSHKh2a30DoXe8/edit?usp=sharing"",""สตูล!J46"")"),0)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IFERROR(__xludf.DUMMYFUNCTION("IMPORTRANGE(""https://docs.google.com/spreadsheets/d/1IYY_tgx_IHuhSq3AJ5eI5OnqOPBNLWSHKh2a30DoXe8/edit?usp=sharing"",""สตูล!I47"")"),0)</f>
        <v>0</v>
      </c>
      <c r="J112" s="210">
        <f ca="1">IFERROR(__xludf.DUMMYFUNCTION("IMPORTRANGE(""https://docs.google.com/spreadsheets/d/1IYY_tgx_IHuhSq3AJ5eI5OnqOPBNLWSHKh2a30DoXe8/edit?usp=sharing"",""สตูล!J47"")"),0)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IFERROR(__xludf.DUMMYFUNCTION("IMPORTRANGE(""https://docs.google.com/spreadsheets/d/1IYY_tgx_IHuhSq3AJ5eI5OnqOPBNLWSHKh2a30DoXe8/edit?usp=sharing"",""สตูล!I48"")"),0)</f>
        <v>0</v>
      </c>
      <c r="J113" s="210">
        <f ca="1">IFERROR(__xludf.DUMMYFUNCTION("IMPORTRANGE(""https://docs.google.com/spreadsheets/d/1IYY_tgx_IHuhSq3AJ5eI5OnqOPBNLWSHKh2a30DoXe8/edit?usp=sharing"",""สตูล!J48"")"),0)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IFERROR(__xludf.DUMMYFUNCTION("IMPORTRANGE(""https://docs.google.com/spreadsheets/d/1IYY_tgx_IHuhSq3AJ5eI5OnqOPBNLWSHKh2a30DoXe8/edit?usp=sharing"",""สตูล!J49"")"),0)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IFERROR(__xludf.DUMMYFUNCTION("IMPORTRANGE(""https://docs.google.com/spreadsheets/d/1IYY_tgx_IHuhSq3AJ5eI5OnqOPBNLWSHKh2a30DoXe8/edit?usp=sharing"",""สตูล!J50"")"),0)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57266.34</v>
      </c>
      <c r="O118" s="155">
        <f t="shared" ref="O118:O120" ca="1" si="59">IF(L118&gt;0,N118*100/L118,0)</f>
        <v>88.251410078594546</v>
      </c>
      <c r="P118" s="155">
        <f t="shared" ref="P118:P120" ca="1" si="60">IF(M118&gt;0,N118*100/M118,0)</f>
        <v>88.251410078594546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57266.34</v>
      </c>
      <c r="O120" s="160">
        <f t="shared" ca="1" si="59"/>
        <v>88.251410078594546</v>
      </c>
      <c r="P120" s="160">
        <f t="shared" ca="1" si="60"/>
        <v>88.251410078594546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IFERROR(__xludf.DUMMYFUNCTION("IMPORTRANGE(""https://docs.google.com/spreadsheets/d/1Yj_ptqi66GCucihVvJfMjLAmec39IyEx_6qawtMGysU/edit?usp=sharing"",""สบก!BA93"")"),64890)</f>
        <v>64890</v>
      </c>
      <c r="N122" s="174">
        <f ca="1">IFERROR(__xludf.DUMMYFUNCTION("IMPORTRANGE(""https://docs.google.com/spreadsheets/d/1Yj_ptqi66GCucihVvJfMjLAmec39IyEx_6qawtMGysU/edit?usp=sharing"",""สบก!BB93"")"),57266.34)</f>
        <v>57266.34</v>
      </c>
      <c r="O122" s="175">
        <f ca="1">IF(L122&gt;0,N122*100/L122,0)</f>
        <v>88.251410078594546</v>
      </c>
      <c r="P122" s="175">
        <f ca="1">IF(M122&gt;0,N122*100/M122,0)</f>
        <v>88.251410078594546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IFERROR(__xludf.DUMMYFUNCTION("IMPORTRANGE(""https://docs.google.com/spreadsheets/d/1Yj_ptqi66GCucihVvJfMjLAmec39IyEx_6qawtMGysU/edit?usp=sharing"",""สบก!AX93"")"),64890)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IFERROR(__xludf.DUMMYFUNCTION("IMPORTRANGE(""https://docs.google.com/spreadsheets/d/1IYY_tgx_IHuhSq3AJ5eI5OnqOPBNLWSHKh2a30DoXe8/edit?usp=sharing"",""สตูล!J58"")"),0)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IFERROR(__xludf.DUMMYFUNCTION("IMPORTRANGE(""https://docs.google.com/spreadsheets/d/1IYY_tgx_IHuhSq3AJ5eI5OnqOPBNLWSHKh2a30DoXe8/edit?usp=sharing"",""สตูล!J59"")"),1)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IFERROR(__xludf.DUMMYFUNCTION("IMPORTRANGE(""https://docs.google.com/spreadsheets/d/1IYY_tgx_IHuhSq3AJ5eI5OnqOPBNLWSHKh2a30DoXe8/edit?usp=sharing"",""สตูล!J60"")"),1)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IFERROR(__xludf.DUMMYFUNCTION("IMPORTRANGE(""https://docs.google.com/spreadsheets/d/1IYY_tgx_IHuhSq3AJ5eI5OnqOPBNLWSHKh2a30DoXe8/edit?usp=sharing"",""สตูล!J61"")"),1)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IFERROR(__xludf.DUMMYFUNCTION("IMPORTRANGE(""https://docs.google.com/spreadsheets/d/1IYY_tgx_IHuhSq3AJ5eI5OnqOPBNLWSHKh2a30DoXe8/edit?usp=sharing"",""สตูล!I62"")"),15)</f>
        <v>15</v>
      </c>
      <c r="J132" s="210">
        <f ca="1">IFERROR(__xludf.DUMMYFUNCTION("IMPORTRANGE(""https://docs.google.com/spreadsheets/d/1IYY_tgx_IHuhSq3AJ5eI5OnqOPBNLWSHKh2a30DoXe8/edit?usp=sharing"",""สตูล!J62"")"),15)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IFERROR(__xludf.DUMMYFUNCTION("IMPORTRANGE(""https://docs.google.com/spreadsheets/d/1IYY_tgx_IHuhSq3AJ5eI5OnqOPBNLWSHKh2a30DoXe8/edit?usp=sharing"",""สตูล!I63"")"),15)</f>
        <v>15</v>
      </c>
      <c r="J133" s="210">
        <f ca="1">IFERROR(__xludf.DUMMYFUNCTION("IMPORTRANGE(""https://docs.google.com/spreadsheets/d/1IYY_tgx_IHuhSq3AJ5eI5OnqOPBNLWSHKh2a30DoXe8/edit?usp=sharing"",""สตูล!J63"")"),15)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IFERROR(__xludf.DUMMYFUNCTION("IMPORTRANGE(""https://docs.google.com/spreadsheets/d/1IYY_tgx_IHuhSq3AJ5eI5OnqOPBNLWSHKh2a30DoXe8/edit?usp=sharing"",""สตูล!J64"")"),0)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IFERROR(__xludf.DUMMYFUNCTION("IMPORTRANGE(""https://docs.google.com/spreadsheets/d/1IYY_tgx_IHuhSq3AJ5eI5OnqOPBNLWSHKh2a30DoXe8/edit?usp=sharing"",""สตูล!J65"")"),0)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IFERROR(__xludf.DUMMYFUNCTION("IMPORTRANGE(""https://docs.google.com/spreadsheets/d/1IYY_tgx_IHuhSq3AJ5eI5OnqOPBNLWSHKh2a30DoXe8/edit?usp=sharing"",""สตูล!I68"")"),0)</f>
        <v>0</v>
      </c>
      <c r="J138" s="273">
        <f ca="1">IFERROR(__xludf.DUMMYFUNCTION("IMPORTRANGE(""https://docs.google.com/spreadsheets/d/1IYY_tgx_IHuhSq3AJ5eI5OnqOPBNLWSHKh2a30DoXe8/edit?usp=sharing"",""สตูล!J68"")"),0)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42700</v>
      </c>
      <c r="M140" s="156">
        <f t="shared" ca="1" si="64"/>
        <v>50700</v>
      </c>
      <c r="N140" s="156">
        <f t="shared" ca="1" si="64"/>
        <v>30335</v>
      </c>
      <c r="O140" s="155">
        <f t="shared" ref="O140:O142" ca="1" si="65">IF(L140&gt;0,N140*100/L140,0)</f>
        <v>71.042154566744728</v>
      </c>
      <c r="P140" s="155">
        <f t="shared" ref="P140:P142" ca="1" si="66">IF(M140&gt;0,N140*100/M140,0)</f>
        <v>59.832347140039445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42700</v>
      </c>
      <c r="M142" s="161">
        <f t="shared" ca="1" si="68"/>
        <v>50700</v>
      </c>
      <c r="N142" s="161">
        <f t="shared" ca="1" si="68"/>
        <v>30335</v>
      </c>
      <c r="O142" s="160">
        <f t="shared" ca="1" si="65"/>
        <v>71.042154566744728</v>
      </c>
      <c r="P142" s="160">
        <f t="shared" ca="1" si="66"/>
        <v>59.832347140039445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42700</v>
      </c>
      <c r="M144" s="173">
        <f ca="1">IFERROR(__xludf.DUMMYFUNCTION("IMPORTRANGE(""https://docs.google.com/spreadsheets/d/1Yj_ptqi66GCucihVvJfMjLAmec39IyEx_6qawtMGysU/edit?usp=sharing"",""สบก!BJ93"")"),50700)</f>
        <v>50700</v>
      </c>
      <c r="N144" s="174">
        <f ca="1">IFERROR(__xludf.DUMMYFUNCTION("IMPORTRANGE(""https://docs.google.com/spreadsheets/d/1Yj_ptqi66GCucihVvJfMjLAmec39IyEx_6qawtMGysU/edit?usp=sharing"",""สบก!BK93"")"),30335)</f>
        <v>30335</v>
      </c>
      <c r="O144" s="175">
        <f ca="1">IF(L144&gt;0,N144*100/L144,0)</f>
        <v>71.042154566744728</v>
      </c>
      <c r="P144" s="175">
        <f ca="1">IF(M144&gt;0,N144*100/M144,0)</f>
        <v>59.832347140039445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IFERROR(__xludf.DUMMYFUNCTION("IMPORTRANGE(""https://docs.google.com/spreadsheets/d/1Yj_ptqi66GCucihVvJfMjLAmec39IyEx_6qawtMGysU/edit?usp=sharing"",""สบก!BF93"")"),0)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IFERROR(__xludf.DUMMYFUNCTION("IMPORTRANGE(""https://docs.google.com/spreadsheets/d/1Yj_ptqi66GCucihVvJfMjLAmec39IyEx_6qawtMGysU/edit?usp=sharing"",""สบก!BG93"")"),42700)</f>
        <v>42700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IFERROR(__xludf.DUMMYFUNCTION("IMPORTRANGE(""https://docs.google.com/spreadsheets/d/1IYY_tgx_IHuhSq3AJ5eI5OnqOPBNLWSHKh2a30DoXe8/edit?usp=sharing"",""สตูล!I74"")"),4)</f>
        <v>4</v>
      </c>
      <c r="J149" s="281">
        <f ca="1">IFERROR(__xludf.DUMMYFUNCTION("IMPORTRANGE(""https://docs.google.com/spreadsheets/d/1IYY_tgx_IHuhSq3AJ5eI5OnqOPBNLWSHKh2a30DoXe8/edit?usp=sharing"",""สตูล!J74"")"),3)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IFERROR(__xludf.DUMMYFUNCTION("IMPORTRANGE(""https://docs.google.com/spreadsheets/d/1IYY_tgx_IHuhSq3AJ5eI5OnqOPBNLWSHKh2a30DoXe8/edit?usp=sharing"",""สตูล!J79"")"),0)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IFERROR(__xludf.DUMMYFUNCTION("IMPORTRANGE(""https://docs.google.com/spreadsheets/d/1IYY_tgx_IHuhSq3AJ5eI5OnqOPBNLWSHKh2a30DoXe8/edit?usp=sharing"",""สตูล!J80"")"),1)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IFERROR(__xludf.DUMMYFUNCTION("IMPORTRANGE(""https://docs.google.com/spreadsheets/d/1IYY_tgx_IHuhSq3AJ5eI5OnqOPBNLWSHKh2a30DoXe8/edit?usp=sharing"",""สตูล!J81"")"),1)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IFERROR(__xludf.DUMMYFUNCTION("IMPORTRANGE(""https://docs.google.com/spreadsheets/d/1IYY_tgx_IHuhSq3AJ5eI5OnqOPBNLWSHKh2a30DoXe8/edit?usp=sharing"",""สตูล!J82"")"),1)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IFERROR(__xludf.DUMMYFUNCTION("IMPORTRANGE(""https://docs.google.com/spreadsheets/d/1IYY_tgx_IHuhSq3AJ5eI5OnqOPBNLWSHKh2a30DoXe8/edit?usp=sharing"",""สตูล!I83"")"),4)</f>
        <v>4</v>
      </c>
      <c r="J158" s="195">
        <f ca="1">IFERROR(__xludf.DUMMYFUNCTION("IMPORTRANGE(""https://docs.google.com/spreadsheets/d/1IYY_tgx_IHuhSq3AJ5eI5OnqOPBNLWSHKh2a30DoXe8/edit?usp=sharing"",""สตูล!J83"")"),3)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IFERROR(__xludf.DUMMYFUNCTION("IMPORTRANGE(""https://docs.google.com/spreadsheets/d/1IYY_tgx_IHuhSq3AJ5eI5OnqOPBNLWSHKh2a30DoXe8/edit?usp=sharing"",""สตูล!J84"")"),50)</f>
        <v>50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IFERROR(__xludf.DUMMYFUNCTION("IMPORTRANGE(""https://docs.google.com/spreadsheets/d/1IYY_tgx_IHuhSq3AJ5eI5OnqOPBNLWSHKh2a30DoXe8/edit?usp=sharing"",""สตูล!J85"")"),50)</f>
        <v>50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IFERROR(__xludf.DUMMYFUNCTION("IMPORTRANGE(""https://docs.google.com/spreadsheets/d/1IYY_tgx_IHuhSq3AJ5eI5OnqOPBNLWSHKh2a30DoXe8/edit?usp=sharing"",""สตูล!J86"")"),0)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IFERROR(__xludf.DUMMYFUNCTION("IMPORTRANGE(""https://docs.google.com/spreadsheets/d/1IYY_tgx_IHuhSq3AJ5eI5OnqOPBNLWSHKh2a30DoXe8/edit?usp=sharing"",""สตูล!J87"")"),0)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IFERROR(__xludf.DUMMYFUNCTION("IMPORTRANGE(""https://docs.google.com/spreadsheets/d/1IYY_tgx_IHuhSq3AJ5eI5OnqOPBNLWSHKh2a30DoXe8/edit?usp=sharing"",""สตูล!J88"")"),0)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IFERROR(__xludf.DUMMYFUNCTION("IMPORTRANGE(""https://docs.google.com/spreadsheets/d/1IYY_tgx_IHuhSq3AJ5eI5OnqOPBNLWSHKh2a30DoXe8/edit?usp=sharing"",""สตูล!J94"")"),0)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IFERROR(__xludf.DUMMYFUNCTION("IMPORTRANGE(""https://docs.google.com/spreadsheets/d/1IYY_tgx_IHuhSq3AJ5eI5OnqOPBNLWSHKh2a30DoXe8/edit?usp=sharing"",""สตูล!J95"")"),1)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IFERROR(__xludf.DUMMYFUNCTION("IMPORTRANGE(""https://docs.google.com/spreadsheets/d/1IYY_tgx_IHuhSq3AJ5eI5OnqOPBNLWSHKh2a30DoXe8/edit?usp=sharing"",""สตูล!J96"")"),1)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IFERROR(__xludf.DUMMYFUNCTION("IMPORTRANGE(""https://docs.google.com/spreadsheets/d/1IYY_tgx_IHuhSq3AJ5eI5OnqOPBNLWSHKh2a30DoXe8/edit?usp=sharing"",""สตูล!J97"")"),1)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IFERROR(__xludf.DUMMYFUNCTION("IMPORTRANGE(""https://docs.google.com/spreadsheets/d/1IYY_tgx_IHuhSq3AJ5eI5OnqOPBNLWSHKh2a30DoXe8/edit?usp=sharing"",""สตูล!I98"")"),2)</f>
        <v>2</v>
      </c>
      <c r="J173" s="195">
        <f ca="1">IFERROR(__xludf.DUMMYFUNCTION("IMPORTRANGE(""https://docs.google.com/spreadsheets/d/1IYY_tgx_IHuhSq3AJ5eI5OnqOPBNLWSHKh2a30DoXe8/edit?usp=sharing"",""สตูล!J98"")"),2)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IFERROR(__xludf.DUMMYFUNCTION("IMPORTRANGE(""https://docs.google.com/spreadsheets/d/1IYY_tgx_IHuhSq3AJ5eI5OnqOPBNLWSHKh2a30DoXe8/edit?usp=sharing"",""สตูล!J99"")"),0)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IFERROR(__xludf.DUMMYFUNCTION("IMPORTRANGE(""https://docs.google.com/spreadsheets/d/1IYY_tgx_IHuhSq3AJ5eI5OnqOPBNLWSHKh2a30DoXe8/edit?usp=sharing"",""สตูล!J100"")"),0)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IFERROR(__xludf.DUMMYFUNCTION("IMPORTRANGE(""https://docs.google.com/spreadsheets/d/1IYY_tgx_IHuhSq3AJ5eI5OnqOPBNLWSHKh2a30DoXe8/edit?usp=sharing"",""สตูล!J106"")"),0)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IFERROR(__xludf.DUMMYFUNCTION("IMPORTRANGE(""https://docs.google.com/spreadsheets/d/1IYY_tgx_IHuhSq3AJ5eI5OnqOPBNLWSHKh2a30DoXe8/edit?usp=sharing"",""สตูล!J107"")"),0)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IFERROR(__xludf.DUMMYFUNCTION("IMPORTRANGE(""https://docs.google.com/spreadsheets/d/1IYY_tgx_IHuhSq3AJ5eI5OnqOPBNLWSHKh2a30DoXe8/edit?usp=sharing"",""สตูล!J108"")"),0)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IFERROR(__xludf.DUMMYFUNCTION("IMPORTRANGE(""https://docs.google.com/spreadsheets/d/1IYY_tgx_IHuhSq3AJ5eI5OnqOPBNLWSHKh2a30DoXe8/edit?usp=sharing"",""สตูล!J109"")"),0)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IFERROR(__xludf.DUMMYFUNCTION("IMPORTRANGE(""https://docs.google.com/spreadsheets/d/1IYY_tgx_IHuhSq3AJ5eI5OnqOPBNLWSHKh2a30DoXe8/edit?usp=sharing"",""สตูล!I110"")"),0)</f>
        <v>0</v>
      </c>
      <c r="J185" s="210">
        <f ca="1">IFERROR(__xludf.DUMMYFUNCTION("IMPORTRANGE(""https://docs.google.com/spreadsheets/d/1IYY_tgx_IHuhSq3AJ5eI5OnqOPBNLWSHKh2a30DoXe8/edit?usp=sharing"",""สตูล!J110"")"),0)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IFERROR(__xludf.DUMMYFUNCTION("IMPORTRANGE(""https://docs.google.com/spreadsheets/d/1IYY_tgx_IHuhSq3AJ5eI5OnqOPBNLWSHKh2a30DoXe8/edit?usp=sharing"",""สตูล!I111"")"),0)</f>
        <v>0</v>
      </c>
      <c r="J186" s="210">
        <f ca="1">IFERROR(__xludf.DUMMYFUNCTION("IMPORTRANGE(""https://docs.google.com/spreadsheets/d/1IYY_tgx_IHuhSq3AJ5eI5OnqOPBNLWSHKh2a30DoXe8/edit?usp=sharing"",""สตูล!J111"")"),0)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IFERROR(__xludf.DUMMYFUNCTION("IMPORTRANGE(""https://docs.google.com/spreadsheets/d/1IYY_tgx_IHuhSq3AJ5eI5OnqOPBNLWSHKh2a30DoXe8/edit?usp=sharing"",""สตูล!J112"")"),0)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IFERROR(__xludf.DUMMYFUNCTION("IMPORTRANGE(""https://docs.google.com/spreadsheets/d/1IYY_tgx_IHuhSq3AJ5eI5OnqOPBNLWSHKh2a30DoXe8/edit?usp=sharing"",""สตูล!J113"")"),0)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IFERROR(__xludf.DUMMYFUNCTION("IMPORTRANGE(""https://docs.google.com/spreadsheets/d/1IYY_tgx_IHuhSq3AJ5eI5OnqOPBNLWSHKh2a30DoXe8/edit?usp=sharing"",""สตูล!J114"")"),6400)</f>
        <v>6400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IFERROR(__xludf.DUMMYFUNCTION("IMPORTRANGE(""https://docs.google.com/spreadsheets/d/1IYY_tgx_IHuhSq3AJ5eI5OnqOPBNLWSHKh2a30DoXe8/edit?usp=sharing"",""สตูล!J119"")"),1)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IFERROR(__xludf.DUMMYFUNCTION("IMPORTRANGE(""https://docs.google.com/spreadsheets/d/1IYY_tgx_IHuhSq3AJ5eI5OnqOPBNLWSHKh2a30DoXe8/edit?usp=sharing"",""สตูล!J120"")"),0)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IFERROR(__xludf.DUMMYFUNCTION("IMPORTRANGE(""https://docs.google.com/spreadsheets/d/1IYY_tgx_IHuhSq3AJ5eI5OnqOPBNLWSHKh2a30DoXe8/edit?usp=sharing"",""สตูล!J121"")"),0)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IFERROR(__xludf.DUMMYFUNCTION("IMPORTRANGE(""https://docs.google.com/spreadsheets/d/1IYY_tgx_IHuhSq3AJ5eI5OnqOPBNLWSHKh2a30DoXe8/edit?usp=sharing"",""สตูล!J122"")"),0)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IFERROR(__xludf.DUMMYFUNCTION("IMPORTRANGE(""https://docs.google.com/spreadsheets/d/1IYY_tgx_IHuhSq3AJ5eI5OnqOPBNLWSHKh2a30DoXe8/edit?usp=sharing"",""สตูล!I124"")"),6400)</f>
        <v>6400</v>
      </c>
      <c r="J199" s="195">
        <f ca="1">IFERROR(__xludf.DUMMYFUNCTION("IMPORTRANGE(""https://docs.google.com/spreadsheets/d/1IYY_tgx_IHuhSq3AJ5eI5OnqOPBNLWSHKh2a30DoXe8/edit?usp=sharing"",""สตูล!J124"")"),6400)</f>
        <v>6400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IFERROR(__xludf.DUMMYFUNCTION("IMPORTRANGE(""https://docs.google.com/spreadsheets/d/1IYY_tgx_IHuhSq3AJ5eI5OnqOPBNLWSHKh2a30DoXe8/edit?usp=sharing"",""สตูล!I125"")"),6400)</f>
        <v>6400</v>
      </c>
      <c r="J200" s="195">
        <f ca="1">IFERROR(__xludf.DUMMYFUNCTION("IMPORTRANGE(""https://docs.google.com/spreadsheets/d/1IYY_tgx_IHuhSq3AJ5eI5OnqOPBNLWSHKh2a30DoXe8/edit?usp=sharing"",""สตูล!J125"")"),6400)</f>
        <v>6400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IFERROR(__xludf.DUMMYFUNCTION("IMPORTRANGE(""https://docs.google.com/spreadsheets/d/1IYY_tgx_IHuhSq3AJ5eI5OnqOPBNLWSHKh2a30DoXe8/edit?usp=sharing"",""สตูล!I126"")"),0)</f>
        <v>0</v>
      </c>
      <c r="J201" s="195">
        <f ca="1">IFERROR(__xludf.DUMMYFUNCTION("IMPORTRANGE(""https://docs.google.com/spreadsheets/d/1IYY_tgx_IHuhSq3AJ5eI5OnqOPBNLWSHKh2a30DoXe8/edit?usp=sharing"",""สตูล!J126"")"),0)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IFERROR(__xludf.DUMMYFUNCTION("IMPORTRANGE(""https://docs.google.com/spreadsheets/d/1IYY_tgx_IHuhSq3AJ5eI5OnqOPBNLWSHKh2a30DoXe8/edit?usp=sharing"",""สตูล!J127"")"),0)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IFERROR(__xludf.DUMMYFUNCTION("IMPORTRANGE(""https://docs.google.com/spreadsheets/d/1IYY_tgx_IHuhSq3AJ5eI5OnqOPBNLWSHKh2a30DoXe8/edit?usp=sharing"",""สตูล!J128"")"),0)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IFERROR(__xludf.DUMMYFUNCTION("IMPORTRANGE(""https://docs.google.com/spreadsheets/d/1IYY_tgx_IHuhSq3AJ5eI5OnqOPBNLWSHKh2a30DoXe8/edit?usp=sharing"",""สตูล!J134"")"),0)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IFERROR(__xludf.DUMMYFUNCTION("IMPORTRANGE(""https://docs.google.com/spreadsheets/d/1IYY_tgx_IHuhSq3AJ5eI5OnqOPBNLWSHKh2a30DoXe8/edit?usp=sharing"",""สตูล!J135"")"),0)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IFERROR(__xludf.DUMMYFUNCTION("IMPORTRANGE(""https://docs.google.com/spreadsheets/d/1IYY_tgx_IHuhSq3AJ5eI5OnqOPBNLWSHKh2a30DoXe8/edit?usp=sharing"",""สตูล!J136"")"),0)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IFERROR(__xludf.DUMMYFUNCTION("IMPORTRANGE(""https://docs.google.com/spreadsheets/d/1IYY_tgx_IHuhSq3AJ5eI5OnqOPBNLWSHKh2a30DoXe8/edit?usp=sharing"",""สตูล!J137"")"),0)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IFERROR(__xludf.DUMMYFUNCTION("IMPORTRANGE(""https://docs.google.com/spreadsheets/d/1IYY_tgx_IHuhSq3AJ5eI5OnqOPBNLWSHKh2a30DoXe8/edit?usp=sharing"",""สตูล!I138"")"),0)</f>
        <v>0</v>
      </c>
      <c r="J213" s="210">
        <f ca="1">IFERROR(__xludf.DUMMYFUNCTION("IMPORTRANGE(""https://docs.google.com/spreadsheets/d/1IYY_tgx_IHuhSq3AJ5eI5OnqOPBNLWSHKh2a30DoXe8/edit?usp=sharing"",""สตูล!J138"")"),0)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IFERROR(__xludf.DUMMYFUNCTION("IMPORTRANGE(""https://docs.google.com/spreadsheets/d/1IYY_tgx_IHuhSq3AJ5eI5OnqOPBNLWSHKh2a30DoXe8/edit?usp=sharing"",""สตูล!I140"")"),0)</f>
        <v>0</v>
      </c>
      <c r="J215" s="210">
        <f ca="1">IFERROR(__xludf.DUMMYFUNCTION("IMPORTRANGE(""https://docs.google.com/spreadsheets/d/1IYY_tgx_IHuhSq3AJ5eI5OnqOPBNLWSHKh2a30DoXe8/edit?usp=sharing"",""สตูล!J140"")"),0)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IFERROR(__xludf.DUMMYFUNCTION("IMPORTRANGE(""https://docs.google.com/spreadsheets/d/1IYY_tgx_IHuhSq3AJ5eI5OnqOPBNLWSHKh2a30DoXe8/edit?usp=sharing"",""สตูล!I141"")"),0)</f>
        <v>0</v>
      </c>
      <c r="J216" s="210">
        <f ca="1">IFERROR(__xludf.DUMMYFUNCTION("IMPORTRANGE(""https://docs.google.com/spreadsheets/d/1IYY_tgx_IHuhSq3AJ5eI5OnqOPBNLWSHKh2a30DoXe8/edit?usp=sharing"",""สตูล!J141"")"),0)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IFERROR(__xludf.DUMMYFUNCTION("IMPORTRANGE(""https://docs.google.com/spreadsheets/d/1IYY_tgx_IHuhSq3AJ5eI5OnqOPBNLWSHKh2a30DoXe8/edit?usp=sharing"",""สตูล!J142"")"),0)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IFERROR(__xludf.DUMMYFUNCTION("IMPORTRANGE(""https://docs.google.com/spreadsheets/d/1IYY_tgx_IHuhSq3AJ5eI5OnqOPBNLWSHKh2a30DoXe8/edit?usp=sharing"",""สตูล!J143"")"),0)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IFERROR(__xludf.DUMMYFUNCTION("IMPORTRANGE(""https://docs.google.com/spreadsheets/d/1IYY_tgx_IHuhSq3AJ5eI5OnqOPBNLWSHKh2a30DoXe8/edit?usp=sharing"",""สตูล!I144"")"),18)</f>
        <v>18</v>
      </c>
      <c r="J219" s="273">
        <f ca="1">IFERROR(__xludf.DUMMYFUNCTION("IMPORTRANGE(""https://docs.google.com/spreadsheets/d/1IYY_tgx_IHuhSq3AJ5eI5OnqOPBNLWSHKh2a30DoXe8/edit?usp=sharing"",""สตูล!J144"")"),18)</f>
        <v>18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23870</v>
      </c>
      <c r="M224" s="173">
        <f ca="1">IFERROR(__xludf.DUMMYFUNCTION("IMPORTRANGE(""https://docs.google.com/spreadsheets/d/1Yj_ptqi66GCucihVvJfMjLAmec39IyEx_6qawtMGysU/edit?usp=sharing"",""สบก!BS93"")"),23870)</f>
        <v>23870</v>
      </c>
      <c r="N224" s="174">
        <f ca="1">IFERROR(__xludf.DUMMYFUNCTION("IMPORTRANGE(""https://docs.google.com/spreadsheets/d/1Yj_ptqi66GCucihVvJfMjLAmec39IyEx_6qawtMGysU/edit?usp=sharing"",""สบก!BT93"")"),23870)</f>
        <v>23870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IFERROR(__xludf.DUMMYFUNCTION("IMPORTRANGE(""https://docs.google.com/spreadsheets/d/1Yj_ptqi66GCucihVvJfMjLAmec39IyEx_6qawtMGysU/edit?usp=sharing"",""สบก!BP93"")"),23870)</f>
        <v>23870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IFERROR(__xludf.DUMMYFUNCTION("IMPORTRANGE(""https://docs.google.com/spreadsheets/d/1IYY_tgx_IHuhSq3AJ5eI5OnqOPBNLWSHKh2a30DoXe8/edit?usp=sharing"",""สตูล!I149"")"),18)</f>
        <v>18</v>
      </c>
      <c r="J229" s="273">
        <f ca="1">IFERROR(__xludf.DUMMYFUNCTION("IMPORTRANGE(""https://docs.google.com/spreadsheets/d/1IYY_tgx_IHuhSq3AJ5eI5OnqOPBNLWSHKh2a30DoXe8/edit?usp=sharing"",""สตูล!J149"")"),18)</f>
        <v>18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IFERROR(__xludf.DUMMYFUNCTION("IMPORTRANGE(""https://docs.google.com/spreadsheets/d/1IYY_tgx_IHuhSq3AJ5eI5OnqOPBNLWSHKh2a30DoXe8/edit?usp=sharing"",""สตูล!J151"")"),0)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IFERROR(__xludf.DUMMYFUNCTION("IMPORTRANGE(""https://docs.google.com/spreadsheets/d/1IYY_tgx_IHuhSq3AJ5eI5OnqOPBNLWSHKh2a30DoXe8/edit?usp=sharing"",""สตูล!J152"")"),1)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IFERROR(__xludf.DUMMYFUNCTION("IMPORTRANGE(""https://docs.google.com/spreadsheets/d/1IYY_tgx_IHuhSq3AJ5eI5OnqOPBNLWSHKh2a30DoXe8/edit?usp=sharing"",""สตูล!J153"")"),1)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IFERROR(__xludf.DUMMYFUNCTION("IMPORTRANGE(""https://docs.google.com/spreadsheets/d/1IYY_tgx_IHuhSq3AJ5eI5OnqOPBNLWSHKh2a30DoXe8/edit?usp=sharing"",""สตูล!J154"")"),1)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IFERROR(__xludf.DUMMYFUNCTION("IMPORTRANGE(""https://docs.google.com/spreadsheets/d/1IYY_tgx_IHuhSq3AJ5eI5OnqOPBNLWSHKh2a30DoXe8/edit?usp=sharing"",""สตูล!I155"")"),18)</f>
        <v>18</v>
      </c>
      <c r="J235" s="195">
        <f ca="1">IFERROR(__xludf.DUMMYFUNCTION("IMPORTRANGE(""https://docs.google.com/spreadsheets/d/1IYY_tgx_IHuhSq3AJ5eI5OnqOPBNLWSHKh2a30DoXe8/edit?usp=sharing"",""สตูล!J155"")"),18)</f>
        <v>18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IFERROR(__xludf.DUMMYFUNCTION("IMPORTRANGE(""https://docs.google.com/spreadsheets/d/1IYY_tgx_IHuhSq3AJ5eI5OnqOPBNLWSHKh2a30DoXe8/edit?usp=sharing"",""สตูล!J156"")"),0)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IFERROR(__xludf.DUMMYFUNCTION("IMPORTRANGE(""https://docs.google.com/spreadsheets/d/1IYY_tgx_IHuhSq3AJ5eI5OnqOPBNLWSHKh2a30DoXe8/edit?usp=sharing"",""สตูล!J157"")"),0)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IFERROR(__xludf.DUMMYFUNCTION("IMPORTRANGE(""https://docs.google.com/spreadsheets/d/1IYY_tgx_IHuhSq3AJ5eI5OnqOPBNLWSHKh2a30DoXe8/edit?usp=sharing"",""สตูล!I158"")"),0)</f>
        <v>0</v>
      </c>
      <c r="J238" s="273">
        <f ca="1">IFERROR(__xludf.DUMMYFUNCTION("IMPORTRANGE(""https://docs.google.com/spreadsheets/d/1IYY_tgx_IHuhSq3AJ5eI5OnqOPBNLWSHKh2a30DoXe8/edit?usp=sharing"",""สตูล!J158"")"),0)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IFERROR(__xludf.DUMMYFUNCTION("IMPORTRANGE(""https://docs.google.com/spreadsheets/d/1IYY_tgx_IHuhSq3AJ5eI5OnqOPBNLWSHKh2a30DoXe8/edit?usp=sharing"",""สตูล!J159"")"),"")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IFERROR(__xludf.DUMMYFUNCTION("IMPORTRANGE(""https://docs.google.com/spreadsheets/d/1IYY_tgx_IHuhSq3AJ5eI5OnqOPBNLWSHKh2a30DoXe8/edit?usp=sharing"",""สตูล!J161"")"),0)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IFERROR(__xludf.DUMMYFUNCTION("IMPORTRANGE(""https://docs.google.com/spreadsheets/d/1IYY_tgx_IHuhSq3AJ5eI5OnqOPBNLWSHKh2a30DoXe8/edit?usp=sharing"",""สตูล!J162"")"),0)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IFERROR(__xludf.DUMMYFUNCTION("IMPORTRANGE(""https://docs.google.com/spreadsheets/d/1IYY_tgx_IHuhSq3AJ5eI5OnqOPBNLWSHKh2a30DoXe8/edit?usp=sharing"",""สตูล!J163"")"),0)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IFERROR(__xludf.DUMMYFUNCTION("IMPORTRANGE(""https://docs.google.com/spreadsheets/d/1IYY_tgx_IHuhSq3AJ5eI5OnqOPBNLWSHKh2a30DoXe8/edit?usp=sharing"",""สตูล!I164"")"),0)</f>
        <v>0</v>
      </c>
      <c r="J244" s="194">
        <f ca="1">IFERROR(__xludf.DUMMYFUNCTION("IMPORTRANGE(""https://docs.google.com/spreadsheets/d/1IYY_tgx_IHuhSq3AJ5eI5OnqOPBNLWSHKh2a30DoXe8/edit?usp=sharing"",""สตูล!J164"")"),0)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IFERROR(__xludf.DUMMYFUNCTION("IMPORTRANGE(""https://docs.google.com/spreadsheets/d/1IYY_tgx_IHuhSq3AJ5eI5OnqOPBNLWSHKh2a30DoXe8/edit?usp=sharing"",""สตูล!J165"")"),0)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IFERROR(__xludf.DUMMYFUNCTION("IMPORTRANGE(""https://docs.google.com/spreadsheets/d/1Yj_ptqi66GCucihVvJfMjLAmec39IyEx_6qawtMGysU/edit?usp=sharing"",""สบก!CB93"")"),0)</f>
        <v>0</v>
      </c>
      <c r="N254" s="174">
        <f ca="1">IFERROR(__xludf.DUMMYFUNCTION("IMPORTRANGE(""https://docs.google.com/spreadsheets/d/1Yj_ptqi66GCucihVvJfMjLAmec39IyEx_6qawtMGysU/edit?usp=sharing"",""สบก!CC93"")"),0)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IFERROR(__xludf.DUMMYFUNCTION("IMPORTRANGE(""https://docs.google.com/spreadsheets/d/1Yj_ptqi66GCucihVvJfMjLAmec39IyEx_6qawtMGysU/edit?usp=sharing"",""สบก!BY93"")"),0)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IFERROR(__xludf.DUMMYFUNCTION("IMPORTRANGE(""https://docs.google.com/spreadsheets/d/1IYY_tgx_IHuhSq3AJ5eI5OnqOPBNLWSHKh2a30DoXe8/edit?usp=sharing"",""สตูล!J175"")"),0)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IFERROR(__xludf.DUMMYFUNCTION("IMPORTRANGE(""https://docs.google.com/spreadsheets/d/1IYY_tgx_IHuhSq3AJ5eI5OnqOPBNLWSHKh2a30DoXe8/edit?usp=sharing"",""สตูล!J176"")"),0)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IFERROR(__xludf.DUMMYFUNCTION("IMPORTRANGE(""https://docs.google.com/spreadsheets/d/1IYY_tgx_IHuhSq3AJ5eI5OnqOPBNLWSHKh2a30DoXe8/edit?usp=sharing"",""สตูล!J177"")"),0)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IFERROR(__xludf.DUMMYFUNCTION("IMPORTRANGE(""https://docs.google.com/spreadsheets/d/1IYY_tgx_IHuhSq3AJ5eI5OnqOPBNLWSHKh2a30DoXe8/edit?usp=sharing"",""สตูล!J178"")"),0)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IFERROR(__xludf.DUMMYFUNCTION("IMPORTRANGE(""https://docs.google.com/spreadsheets/d/1IYY_tgx_IHuhSq3AJ5eI5OnqOPBNLWSHKh2a30DoXe8/edit?usp=sharing"",""สตูล!I179"")"),0)</f>
        <v>0</v>
      </c>
      <c r="J264" s="195">
        <f ca="1">IFERROR(__xludf.DUMMYFUNCTION("IMPORTRANGE(""https://docs.google.com/spreadsheets/d/1IYY_tgx_IHuhSq3AJ5eI5OnqOPBNLWSHKh2a30DoXe8/edit?usp=sharing"",""สตูล!J179"")"),0)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IFERROR(__xludf.DUMMYFUNCTION("IMPORTRANGE(""https://docs.google.com/spreadsheets/d/1IYY_tgx_IHuhSq3AJ5eI5OnqOPBNLWSHKh2a30DoXe8/edit?usp=sharing"",""สตูล!I180"")"),0)</f>
        <v>0</v>
      </c>
      <c r="J265" s="195">
        <f ca="1">IFERROR(__xludf.DUMMYFUNCTION("IMPORTRANGE(""https://docs.google.com/spreadsheets/d/1IYY_tgx_IHuhSq3AJ5eI5OnqOPBNLWSHKh2a30DoXe8/edit?usp=sharing"",""สตูล!J180"")"),0)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IFERROR(__xludf.DUMMYFUNCTION("IMPORTRANGE(""https://docs.google.com/spreadsheets/d/1IYY_tgx_IHuhSq3AJ5eI5OnqOPBNLWSHKh2a30DoXe8/edit?usp=sharing"",""สตูล!I181"")"),0)</f>
        <v>0</v>
      </c>
      <c r="J266" s="195">
        <f ca="1">IFERROR(__xludf.DUMMYFUNCTION("IMPORTRANGE(""https://docs.google.com/spreadsheets/d/1IYY_tgx_IHuhSq3AJ5eI5OnqOPBNLWSHKh2a30DoXe8/edit?usp=sharing"",""สตูล!J181"")"),0)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IFERROR(__xludf.DUMMYFUNCTION("IMPORTRANGE(""https://docs.google.com/spreadsheets/d/1IYY_tgx_IHuhSq3AJ5eI5OnqOPBNLWSHKh2a30DoXe8/edit?usp=sharing"",""สตูล!I182"")"),0)</f>
        <v>0</v>
      </c>
      <c r="J267" s="195">
        <f ca="1">IFERROR(__xludf.DUMMYFUNCTION("IMPORTRANGE(""https://docs.google.com/spreadsheets/d/1IYY_tgx_IHuhSq3AJ5eI5OnqOPBNLWSHKh2a30DoXe8/edit?usp=sharing"",""สตูล!J182"")"),0)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IFERROR(__xludf.DUMMYFUNCTION("IMPORTRANGE(""https://docs.google.com/spreadsheets/d/1IYY_tgx_IHuhSq3AJ5eI5OnqOPBNLWSHKh2a30DoXe8/edit?usp=sharing"",""สตูล!J183"")"),0)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122998</v>
      </c>
      <c r="O271" s="155">
        <f t="shared" ref="O271:O273" ca="1" si="84">IF(L271&gt;0,N271*100/L271,0)</f>
        <v>65.70405982905983</v>
      </c>
      <c r="P271" s="155">
        <f t="shared" ref="P271:P273" ca="1" si="85">IF(M271&gt;0,N271*100/M271,0)</f>
        <v>65.70405982905983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122998</v>
      </c>
      <c r="O273" s="160">
        <f t="shared" ca="1" si="84"/>
        <v>65.70405982905983</v>
      </c>
      <c r="P273" s="160">
        <f t="shared" ca="1" si="85"/>
        <v>65.70405982905983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IFERROR(__xludf.DUMMYFUNCTION("IMPORTRANGE(""https://docs.google.com/spreadsheets/d/1Yj_ptqi66GCucihVvJfMjLAmec39IyEx_6qawtMGysU/edit?usp=sharing"",""สบก!CK93"")"),187200)</f>
        <v>187200</v>
      </c>
      <c r="N275" s="174">
        <f ca="1">IFERROR(__xludf.DUMMYFUNCTION("IMPORTRANGE(""https://docs.google.com/spreadsheets/d/1Yj_ptqi66GCucihVvJfMjLAmec39IyEx_6qawtMGysU/edit?usp=sharing"",""สบก!CL93"")"),122998)</f>
        <v>122998</v>
      </c>
      <c r="O275" s="175">
        <f ca="1">IF(L275&gt;0,N275*100/L275,0)</f>
        <v>65.70405982905983</v>
      </c>
      <c r="P275" s="175">
        <f ca="1">IF(M275&gt;0,N275*100/M275,0)</f>
        <v>65.70405982905983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IFERROR(__xludf.DUMMYFUNCTION("IMPORTRANGE(""https://docs.google.com/spreadsheets/d/1Yj_ptqi66GCucihVvJfMjLAmec39IyEx_6qawtMGysU/edit?usp=sharing"",""สบก!CG93"")"),132000)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IFERROR(__xludf.DUMMYFUNCTION("IMPORTRANGE(""https://docs.google.com/spreadsheets/d/1Yj_ptqi66GCucihVvJfMjLAmec39IyEx_6qawtMGysU/edit?usp=sharing"",""สบก!CH93"")"),55200)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IFERROR(__xludf.DUMMYFUNCTION("IMPORTRANGE(""https://docs.google.com/spreadsheets/d/1IYY_tgx_IHuhSq3AJ5eI5OnqOPBNLWSHKh2a30DoXe8/edit?usp=sharing"",""สตูล!J191"")"),0)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IFERROR(__xludf.DUMMYFUNCTION("IMPORTRANGE(""https://docs.google.com/spreadsheets/d/1IYY_tgx_IHuhSq3AJ5eI5OnqOPBNLWSHKh2a30DoXe8/edit?usp=sharing"",""สตูล!J192"")"),1)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IFERROR(__xludf.DUMMYFUNCTION("IMPORTRANGE(""https://docs.google.com/spreadsheets/d/1IYY_tgx_IHuhSq3AJ5eI5OnqOPBNLWSHKh2a30DoXe8/edit?usp=sharing"",""สตูล!J193"")"),1)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IFERROR(__xludf.DUMMYFUNCTION("IMPORTRANGE(""https://docs.google.com/spreadsheets/d/1IYY_tgx_IHuhSq3AJ5eI5OnqOPBNLWSHKh2a30DoXe8/edit?usp=sharing"",""สตูล!J194"")"),1)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IFERROR(__xludf.DUMMYFUNCTION("IMPORTRANGE(""https://docs.google.com/spreadsheets/d/1IYY_tgx_IHuhSq3AJ5eI5OnqOPBNLWSHKh2a30DoXe8/edit?usp=sharing"",""สตูล!I195"")"),15)</f>
        <v>15</v>
      </c>
      <c r="J285" s="195">
        <f ca="1">IFERROR(__xludf.DUMMYFUNCTION("IMPORTRANGE(""https://docs.google.com/spreadsheets/d/1IYY_tgx_IHuhSq3AJ5eI5OnqOPBNLWSHKh2a30DoXe8/edit?usp=sharing"",""สตูล!J195"")"),15)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IFERROR(__xludf.DUMMYFUNCTION("IMPORTRANGE(""https://docs.google.com/spreadsheets/d/1IYY_tgx_IHuhSq3AJ5eI5OnqOPBNLWSHKh2a30DoXe8/edit?usp=sharing"",""สตูล!J196"")"),0)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IFERROR(__xludf.DUMMYFUNCTION("IMPORTRANGE(""https://docs.google.com/spreadsheets/d/1IYY_tgx_IHuhSq3AJ5eI5OnqOPBNLWSHKh2a30DoXe8/edit?usp=sharing"",""สตูล!J197"")"),0)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IFERROR(__xludf.DUMMYFUNCTION("IMPORTRANGE(""https://docs.google.com/spreadsheets/d/1Yj_ptqi66GCucihVvJfMjLAmec39IyEx_6qawtMGysU/edit?usp=sharing"",""สบก!CT93"")"),0)</f>
        <v>0</v>
      </c>
      <c r="N294" s="174">
        <f ca="1">IFERROR(__xludf.DUMMYFUNCTION("IMPORTRANGE(""https://docs.google.com/spreadsheets/d/1Yj_ptqi66GCucihVvJfMjLAmec39IyEx_6qawtMGysU/edit?usp=sharing"",""สบก!CU93"")"),0)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IFERROR(__xludf.DUMMYFUNCTION("IMPORTRANGE(""https://docs.google.com/spreadsheets/d/1IYY_tgx_IHuhSq3AJ5eI5OnqOPBNLWSHKh2a30DoXe8/edit?usp=sharing"",""สตูล!J205"")"),0)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IFERROR(__xludf.DUMMYFUNCTION("IMPORTRANGE(""https://docs.google.com/spreadsheets/d/1IYY_tgx_IHuhSq3AJ5eI5OnqOPBNLWSHKh2a30DoXe8/edit?usp=sharing"",""สตูล!J206"")"),0)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IFERROR(__xludf.DUMMYFUNCTION("IMPORTRANGE(""https://docs.google.com/spreadsheets/d/1IYY_tgx_IHuhSq3AJ5eI5OnqOPBNLWSHKh2a30DoXe8/edit?usp=sharing"",""สตูล!J207"")"),0)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IFERROR(__xludf.DUMMYFUNCTION("IMPORTRANGE(""https://docs.google.com/spreadsheets/d/1IYY_tgx_IHuhSq3AJ5eI5OnqOPBNLWSHKh2a30DoXe8/edit?usp=sharing"",""สตูล!J208"")"),0)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IFERROR(__xludf.DUMMYFUNCTION("IMPORTRANGE(""https://docs.google.com/spreadsheets/d/1IYY_tgx_IHuhSq3AJ5eI5OnqOPBNLWSHKh2a30DoXe8/edit?usp=sharing"",""สตูล!I209"")"),0)</f>
        <v>0</v>
      </c>
      <c r="J304" s="210">
        <f ca="1">IFERROR(__xludf.DUMMYFUNCTION("IMPORTRANGE(""https://docs.google.com/spreadsheets/d/1IYY_tgx_IHuhSq3AJ5eI5OnqOPBNLWSHKh2a30DoXe8/edit?usp=sharing"",""สตูล!J209"")"),0)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IFERROR(__xludf.DUMMYFUNCTION("IMPORTRANGE(""https://docs.google.com/spreadsheets/d/1IYY_tgx_IHuhSq3AJ5eI5OnqOPBNLWSHKh2a30DoXe8/edit?usp=sharing"",""สตูล!I211"")"),0)</f>
        <v>0</v>
      </c>
      <c r="J306" s="210">
        <f ca="1">IFERROR(__xludf.DUMMYFUNCTION("IMPORTRANGE(""https://docs.google.com/spreadsheets/d/1IYY_tgx_IHuhSq3AJ5eI5OnqOPBNLWSHKh2a30DoXe8/edit?usp=sharing"",""สตูล!J211"")"),0)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IFERROR(__xludf.DUMMYFUNCTION("IMPORTRANGE(""https://docs.google.com/spreadsheets/d/1IYY_tgx_IHuhSq3AJ5eI5OnqOPBNLWSHKh2a30DoXe8/edit?usp=sharing"",""สตูล!J212"")"),0)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IFERROR(__xludf.DUMMYFUNCTION("IMPORTRANGE(""https://docs.google.com/spreadsheets/d/1Yj_ptqi66GCucihVvJfMjLAmec39IyEx_6qawtMGysU/edit?usp=sharing"",""สบก!DC93"")"),0)</f>
        <v>0</v>
      </c>
      <c r="N314" s="174">
        <f ca="1">IFERROR(__xludf.DUMMYFUNCTION("IMPORTRANGE(""https://docs.google.com/spreadsheets/d/1Yj_ptqi66GCucihVvJfMjLAmec39IyEx_6qawtMGysU/edit?usp=sharing"",""สบก!DD93"")"),0)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IFERROR(__xludf.DUMMYFUNCTION("IMPORTRANGE(""https://docs.google.com/spreadsheets/d/1IYY_tgx_IHuhSq3AJ5eI5OnqOPBNLWSHKh2a30DoXe8/edit?usp=sharing"",""สตูล!J220"")"),0)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IFERROR(__xludf.DUMMYFUNCTION("IMPORTRANGE(""https://docs.google.com/spreadsheets/d/1IYY_tgx_IHuhSq3AJ5eI5OnqOPBNLWSHKh2a30DoXe8/edit?usp=sharing"",""สตูล!J221"")"),0)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IFERROR(__xludf.DUMMYFUNCTION("IMPORTRANGE(""https://docs.google.com/spreadsheets/d/1IYY_tgx_IHuhSq3AJ5eI5OnqOPBNLWSHKh2a30DoXe8/edit?usp=sharing"",""สตูล!J222"")"),0)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IFERROR(__xludf.DUMMYFUNCTION("IMPORTRANGE(""https://docs.google.com/spreadsheets/d/1IYY_tgx_IHuhSq3AJ5eI5OnqOPBNLWSHKh2a30DoXe8/edit?usp=sharing"",""สตูล!J223"")"),0)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IFERROR(__xludf.DUMMYFUNCTION("IMPORTRANGE(""https://docs.google.com/spreadsheets/d/1IYY_tgx_IHuhSq3AJ5eI5OnqOPBNLWSHKh2a30DoXe8/edit?usp=sharing"",""สตูล!I224"")"),0)</f>
        <v>0</v>
      </c>
      <c r="J324" s="210">
        <f ca="1">IFERROR(__xludf.DUMMYFUNCTION("IMPORTRANGE(""https://docs.google.com/spreadsheets/d/1IYY_tgx_IHuhSq3AJ5eI5OnqOPBNLWSHKh2a30DoXe8/edit?usp=sharing"",""สตูล!J224"")"),0)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IFERROR(__xludf.DUMMYFUNCTION("IMPORTRANGE(""https://docs.google.com/spreadsheets/d/1IYY_tgx_IHuhSq3AJ5eI5OnqOPBNLWSHKh2a30DoXe8/edit?usp=sharing"",""สตูล!J225"")"),0)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IFERROR(__xludf.DUMMYFUNCTION("IMPORTRANGE(""https://docs.google.com/spreadsheets/d/1IYY_tgx_IHuhSq3AJ5eI5OnqOPBNLWSHKh2a30DoXe8/edit?usp=sharing"",""สตูล!J226"")"),0)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IFERROR(__xludf.DUMMYFUNCTION("IMPORTRANGE(""https://docs.google.com/spreadsheets/d/1IYY_tgx_IHuhSq3AJ5eI5OnqOPBNLWSHKh2a30DoXe8/edit?usp=sharing"",""สตูล!J228"")"),67)</f>
        <v>67</v>
      </c>
      <c r="K328" s="323">
        <f ca="1">IF(I328&gt;0,J328*100/I328,0)</f>
        <v>134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926350</v>
      </c>
      <c r="M329" s="156">
        <f t="shared" ca="1" si="98"/>
        <v>965350</v>
      </c>
      <c r="N329" s="156">
        <f t="shared" ca="1" si="98"/>
        <v>748933.57</v>
      </c>
      <c r="O329" s="155">
        <f t="shared" ref="O329:O331" ca="1" si="99">IF(L329&gt;0,N329*100/L329,0)</f>
        <v>80.847797268850869</v>
      </c>
      <c r="P329" s="155">
        <f t="shared" ref="P329:P331" ca="1" si="100">IF(M329&gt;0,N329*100/M329,0)</f>
        <v>77.58155798415082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926350</v>
      </c>
      <c r="M331" s="161">
        <f t="shared" ca="1" si="102"/>
        <v>965350</v>
      </c>
      <c r="N331" s="161">
        <f t="shared" ca="1" si="102"/>
        <v>748933.57</v>
      </c>
      <c r="O331" s="160">
        <f t="shared" ca="1" si="99"/>
        <v>80.847797268850869</v>
      </c>
      <c r="P331" s="160">
        <f t="shared" ca="1" si="100"/>
        <v>77.58155798415082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757350</v>
      </c>
      <c r="M333" s="173">
        <f ca="1">IFERROR(__xludf.DUMMYFUNCTION("IMPORTRANGE(""https://docs.google.com/spreadsheets/d/1Yj_ptqi66GCucihVvJfMjLAmec39IyEx_6qawtMGysU/edit?usp=sharing"",""สบก!DL93"")"),796350)</f>
        <v>796350</v>
      </c>
      <c r="N333" s="174">
        <f ca="1">IFERROR(__xludf.DUMMYFUNCTION("IMPORTRANGE(""https://docs.google.com/spreadsheets/d/1Yj_ptqi66GCucihVvJfMjLAmec39IyEx_6qawtMGysU/edit?usp=sharing"",""สบก!DM93"")"),579933.57)</f>
        <v>579933.56999999995</v>
      </c>
      <c r="O333" s="175">
        <f ca="1">IF(L333&gt;0,N333*100/L333,0)</f>
        <v>76.574050306991467</v>
      </c>
      <c r="P333" s="175">
        <f ca="1">IF(M333&gt;0,N333*100/M333,0)</f>
        <v>72.823955547184013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IFERROR(__xludf.DUMMYFUNCTION("IMPORTRANGE(""https://docs.google.com/spreadsheets/d/1Yj_ptqi66GCucihVvJfMjLAmec39IyEx_6qawtMGysU/edit?usp=sharing"",""สบก!DH93"")"),530800)</f>
        <v>530800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IFERROR(__xludf.DUMMYFUNCTION("IMPORTRANGE(""https://docs.google.com/spreadsheets/d/1Yj_ptqi66GCucihVvJfMjLAmec39IyEx_6qawtMGysU/edit?usp=sharing"",""สบก!DI93"")"),226550)</f>
        <v>226550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IFERROR(__xludf.DUMMYFUNCTION("IMPORTRANGE(""https://docs.google.com/spreadsheets/d/1IYY_tgx_IHuhSq3AJ5eI5OnqOPBNLWSHKh2a30DoXe8/edit?usp=sharing"",""สตูล!I234"")"),0)</f>
        <v>0</v>
      </c>
      <c r="J339" s="194">
        <f ca="1">IFERROR(__xludf.DUMMYFUNCTION("IMPORTRANGE(""https://docs.google.com/spreadsheets/d/1IYY_tgx_IHuhSq3AJ5eI5OnqOPBNLWSHKh2a30DoXe8/edit?usp=sharing"",""สตูล!J234"")"),106)</f>
        <v>106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IFERROR(__xludf.DUMMYFUNCTION("IMPORTRANGE(""https://docs.google.com/spreadsheets/d/1IYY_tgx_IHuhSq3AJ5eI5OnqOPBNLWSHKh2a30DoXe8/edit?usp=sharing"",""สตูล!I235"")"),480)</f>
        <v>480</v>
      </c>
      <c r="J340" s="194">
        <f ca="1">IFERROR(__xludf.DUMMYFUNCTION("IMPORTRANGE(""https://docs.google.com/spreadsheets/d/1IYY_tgx_IHuhSq3AJ5eI5OnqOPBNLWSHKh2a30DoXe8/edit?usp=sharing"",""สตูล!J235"")"),540.43)</f>
        <v>540.42999999999995</v>
      </c>
      <c r="K340" s="348">
        <f t="shared" ca="1" si="103"/>
        <v>112.58958333333332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IFERROR(__xludf.DUMMYFUNCTION("IMPORTRANGE(""https://docs.google.com/spreadsheets/d/1IYY_tgx_IHuhSq3AJ5eI5OnqOPBNLWSHKh2a30DoXe8/edit?usp=sharing"",""สตูล!I236"")"),50)</f>
        <v>50</v>
      </c>
      <c r="J341" s="194">
        <f ca="1">IFERROR(__xludf.DUMMYFUNCTION("IMPORTRANGE(""https://docs.google.com/spreadsheets/d/1IYY_tgx_IHuhSq3AJ5eI5OnqOPBNLWSHKh2a30DoXe8/edit?usp=sharing"",""สตูล!J236"")"),106)</f>
        <v>106</v>
      </c>
      <c r="K341" s="348">
        <f t="shared" ca="1" si="103"/>
        <v>212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4">
        <f ca="1">IFERROR(__xludf.DUMMYFUNCTION("IMPORTRANGE(""https://docs.google.com/spreadsheets/d/1IYY_tgx_IHuhSq3AJ5eI5OnqOPBNLWSHKh2a30DoXe8/edit?usp=sharing"",""สตูล!J237"")"),540.43)</f>
        <v>540.42999999999995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IFERROR(__xludf.DUMMYFUNCTION("IMPORTRANGE(""https://docs.google.com/spreadsheets/d/1IYY_tgx_IHuhSq3AJ5eI5OnqOPBNLWSHKh2a30DoXe8/edit?usp=sharing"",""สตูล!I238"")"),50)</f>
        <v>50</v>
      </c>
      <c r="J343" s="194">
        <f ca="1">IFERROR(__xludf.DUMMYFUNCTION("IMPORTRANGE(""https://docs.google.com/spreadsheets/d/1IYY_tgx_IHuhSq3AJ5eI5OnqOPBNLWSHKh2a30DoXe8/edit?usp=sharing"",""สตูล!J238"")"),42)</f>
        <v>42</v>
      </c>
      <c r="K343" s="348">
        <f t="shared" ca="1" si="103"/>
        <v>84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4">
        <f ca="1">IFERROR(__xludf.DUMMYFUNCTION("IMPORTRANGE(""https://docs.google.com/spreadsheets/d/1IYY_tgx_IHuhSq3AJ5eI5OnqOPBNLWSHKh2a30DoXe8/edit?usp=sharing"",""สตูล!J239"")"),227.51)</f>
        <v>227.51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IFERROR(__xludf.DUMMYFUNCTION("IMPORTRANGE(""https://docs.google.com/spreadsheets/d/1IYY_tgx_IHuhSq3AJ5eI5OnqOPBNLWSHKh2a30DoXe8/edit?usp=sharing"",""สตูล!I240"")"),50)</f>
        <v>50</v>
      </c>
      <c r="J345" s="194">
        <f ca="1">IFERROR(__xludf.DUMMYFUNCTION("IMPORTRANGE(""https://docs.google.com/spreadsheets/d/1IYY_tgx_IHuhSq3AJ5eI5OnqOPBNLWSHKh2a30DoXe8/edit?usp=sharing"",""สตูล!J240"")"),67)</f>
        <v>67</v>
      </c>
      <c r="K345" s="348">
        <f t="shared" ca="1" si="103"/>
        <v>134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4">
        <f ca="1">IFERROR(__xludf.DUMMYFUNCTION("IMPORTRANGE(""https://docs.google.com/spreadsheets/d/1IYY_tgx_IHuhSq3AJ5eI5OnqOPBNLWSHKh2a30DoXe8/edit?usp=sharing"",""สตูล!J241"")"),368.929999999999)</f>
        <v>368.92999999999898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IFERROR(__xludf.DUMMYFUNCTION("IMPORTRANGE(""https://docs.google.com/spreadsheets/d/1IYY_tgx_IHuhSq3AJ5eI5OnqOPBNLWSHKh2a30DoXe8/edit?usp=sharing"",""สตูล!L242"")"),501476)</f>
        <v>501476</v>
      </c>
      <c r="M347" s="364"/>
      <c r="N347" s="364">
        <f ca="1">IFERROR(__xludf.DUMMYFUNCTION("IMPORTRANGE(""https://docs.google.com/spreadsheets/d/1IYY_tgx_IHuhSq3AJ5eI5OnqOPBNLWSHKh2a30DoXe8/edit?usp=sharing"",""สตูล!M242"")"),371492.36)</f>
        <v>371492.36</v>
      </c>
      <c r="O347" s="364">
        <f ca="1">+IF(L347&gt;0,N347*100/L347,0)</f>
        <v>74.079788464452932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IFERROR(__xludf.DUMMYFUNCTION("IMPORTRANGE(""https://docs.google.com/spreadsheets/d/1IYY_tgx_IHuhSq3AJ5eI5OnqOPBNLWSHKh2a30DoXe8/edit?usp=sharing"",""สตูล!L246"")"),0)</f>
        <v>0</v>
      </c>
      <c r="M351" s="168"/>
      <c r="N351" s="168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8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IFERROR(__xludf.DUMMYFUNCTION("IMPORTRANGE(""https://docs.google.com/spreadsheets/d/1IYY_tgx_IHuhSq3AJ5eI5OnqOPBNLWSHKh2a30DoXe8/edit?usp=sharing"",""สตูล!L248"")"),0)</f>
        <v>0</v>
      </c>
      <c r="M353" s="175"/>
      <c r="N353" s="175">
        <f ca="1">IFERROR(__xludf.DUMMYFUNCTION("IMPORTRANGE(""https://docs.google.com/spreadsheets/d/1IYY_tgx_IHuhSq3AJ5eI5OnqOPBNLWSHKh2a30DoXe8/edit?usp=sharing"",""สตูล!M248"")"),0)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IFERROR(__xludf.DUMMYFUNCTION("IMPORTRANGE(""https://docs.google.com/spreadsheets/d/1IYY_tgx_IHuhSq3AJ5eI5OnqOPBNLWSHKh2a30DoXe8/edit?usp=sharing"",""สตูล!L249"")"),0)</f>
        <v>0</v>
      </c>
      <c r="M354" s="175"/>
      <c r="N354" s="172">
        <f ca="1">IFERROR(__xludf.DUMMYFUNCTION("IMPORTRANGE(""https://docs.google.com/spreadsheets/d/1IYY_tgx_IHuhSq3AJ5eI5OnqOPBNLWSHKh2a30DoXe8/edit?usp=sharing"",""สตูล!M249"")"),0)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IFERROR(__xludf.DUMMYFUNCTION("IMPORTRANGE(""https://docs.google.com/spreadsheets/d/1IYY_tgx_IHuhSq3AJ5eI5OnqOPBNLWSHKh2a30DoXe8/edit?usp=sharing"",""สตูล!J255"")"),0)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IFERROR(__xludf.DUMMYFUNCTION("IMPORTRANGE(""https://docs.google.com/spreadsheets/d/1IYY_tgx_IHuhSq3AJ5eI5OnqOPBNLWSHKh2a30DoXe8/edit?usp=sharing"",""สตูล!J256"")"),0)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IFERROR(__xludf.DUMMYFUNCTION("IMPORTRANGE(""https://docs.google.com/spreadsheets/d/1IYY_tgx_IHuhSq3AJ5eI5OnqOPBNLWSHKh2a30DoXe8/edit?usp=sharing"",""สตูล!J257"")"),0)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IFERROR(__xludf.DUMMYFUNCTION("IMPORTRANGE(""https://docs.google.com/spreadsheets/d/1IYY_tgx_IHuhSq3AJ5eI5OnqOPBNLWSHKh2a30DoXe8/edit?usp=sharing"",""สตูล!J258"")"),0)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IFERROR(__xludf.DUMMYFUNCTION("IMPORTRANGE(""https://docs.google.com/spreadsheets/d/1IYY_tgx_IHuhSq3AJ5eI5OnqOPBNLWSHKh2a30DoXe8/edit?usp=sharing"",""สตูล!J166"")"),0)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IFERROR(__xludf.DUMMYFUNCTION("IMPORTRANGE(""https://docs.google.com/spreadsheets/d/1IYY_tgx_IHuhSq3AJ5eI5OnqOPBNLWSHKh2a30DoXe8/edit?usp=sharing"",""สตูล!J166"")"),0)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IFERROR(__xludf.DUMMYFUNCTION("IMPORTRANGE(""https://docs.google.com/spreadsheets/d/1IYY_tgx_IHuhSq3AJ5eI5OnqOPBNLWSHKh2a30DoXe8/edit?usp=sharing"",""สตูล!J166"")"),0)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IFERROR(__xludf.DUMMYFUNCTION("IMPORTRANGE(""https://docs.google.com/spreadsheets/d/1IYY_tgx_IHuhSq3AJ5eI5OnqOPBNLWSHKh2a30DoXe8/edit?usp=sharing"",""สตูล!J166"")"),0)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IFERROR(__xludf.DUMMYFUNCTION("IMPORTRANGE(""https://docs.google.com/spreadsheets/d/1IYY_tgx_IHuhSq3AJ5eI5OnqOPBNLWSHKh2a30DoXe8/edit?usp=sharing"",""สตูล!I263"")"),0)</f>
        <v>0</v>
      </c>
      <c r="J368" s="194">
        <f ca="1">IFERROR(__xludf.DUMMYFUNCTION("IMPORTRANGE(""https://docs.google.com/spreadsheets/d/1IYY_tgx_IHuhSq3AJ5eI5OnqOPBNLWSHKh2a30DoXe8/edit?usp=sharing"",""สตูล!J263"")"),0)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IFERROR(__xludf.DUMMYFUNCTION("IMPORTRANGE(""https://docs.google.com/spreadsheets/d/1IYY_tgx_IHuhSq3AJ5eI5OnqOPBNLWSHKh2a30DoXe8/edit?usp=sharing"",""สตูล!I164"")"),0)</f>
        <v>0</v>
      </c>
      <c r="J369" s="210">
        <f ca="1">IFERROR(__xludf.DUMMYFUNCTION("IMPORTRANGE(""https://docs.google.com/spreadsheets/d/1IYY_tgx_IHuhSq3AJ5eI5OnqOPBNLWSHKh2a30DoXe8/edit?usp=sharing"",""สตูล!J164"")"),0)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IFERROR(__xludf.DUMMYFUNCTION("IMPORTRANGE(""https://docs.google.com/spreadsheets/d/1IYY_tgx_IHuhSq3AJ5eI5OnqOPBNLWSHKh2a30DoXe8/edit?usp=sharing"",""สตูล!I265"")"),0)</f>
        <v>0</v>
      </c>
      <c r="J370" s="210">
        <f ca="1">IFERROR(__xludf.DUMMYFUNCTION("IMPORTRANGE(""https://docs.google.com/spreadsheets/d/1IYY_tgx_IHuhSq3AJ5eI5OnqOPBNLWSHKh2a30DoXe8/edit?usp=sharing"",""สตูล!J265"")"),0)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IFERROR(__xludf.DUMMYFUNCTION("IMPORTRANGE(""https://docs.google.com/spreadsheets/d/1IYY_tgx_IHuhSq3AJ5eI5OnqOPBNLWSHKh2a30DoXe8/edit?usp=sharing"",""สตูล!I164"")"),0)</f>
        <v>0</v>
      </c>
      <c r="J371" s="195">
        <f ca="1">IFERROR(__xludf.DUMMYFUNCTION("IMPORTRANGE(""https://docs.google.com/spreadsheets/d/1IYY_tgx_IHuhSq3AJ5eI5OnqOPBNLWSHKh2a30DoXe8/edit?usp=sharing"",""สตูล!J164"")"),0)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IFERROR(__xludf.DUMMYFUNCTION("IMPORTRANGE(""https://docs.google.com/spreadsheets/d/1IYY_tgx_IHuhSq3AJ5eI5OnqOPBNLWSHKh2a30DoXe8/edit?usp=sharing"",""สตูล!I267"")"),0)</f>
        <v>0</v>
      </c>
      <c r="J372" s="195">
        <f ca="1">IFERROR(__xludf.DUMMYFUNCTION("IMPORTRANGE(""https://docs.google.com/spreadsheets/d/1IYY_tgx_IHuhSq3AJ5eI5OnqOPBNLWSHKh2a30DoXe8/edit?usp=sharing"",""สตูล!J267"")"),0)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IFERROR(__xludf.DUMMYFUNCTION("IMPORTRANGE(""https://docs.google.com/spreadsheets/d/1IYY_tgx_IHuhSq3AJ5eI5OnqOPBNLWSHKh2a30DoXe8/edit?usp=sharing"",""สตูล!I164"")"),0)</f>
        <v>0</v>
      </c>
      <c r="J373" s="210">
        <f ca="1">IFERROR(__xludf.DUMMYFUNCTION("IMPORTRANGE(""https://docs.google.com/spreadsheets/d/1IYY_tgx_IHuhSq3AJ5eI5OnqOPBNLWSHKh2a30DoXe8/edit?usp=sharing"",""สตูล!J164"")"),0)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IFERROR(__xludf.DUMMYFUNCTION("IMPORTRANGE(""https://docs.google.com/spreadsheets/d/1IYY_tgx_IHuhSq3AJ5eI5OnqOPBNLWSHKh2a30DoXe8/edit?usp=sharing"",""สตูล!I164"")"),0)</f>
        <v>0</v>
      </c>
      <c r="J374" s="194">
        <f ca="1">IFERROR(__xludf.DUMMYFUNCTION("IMPORTRANGE(""https://docs.google.com/spreadsheets/d/1IYY_tgx_IHuhSq3AJ5eI5OnqOPBNLWSHKh2a30DoXe8/edit?usp=sharing"",""สตูล!J164"")"),0)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IFERROR(__xludf.DUMMYFUNCTION("IMPORTRANGE(""https://docs.google.com/spreadsheets/d/1IYY_tgx_IHuhSq3AJ5eI5OnqOPBNLWSHKh2a30DoXe8/edit?usp=sharing"",""สตูล!I270"")"),0)</f>
        <v>0</v>
      </c>
      <c r="J375" s="194">
        <f ca="1">IFERROR(__xludf.DUMMYFUNCTION("IMPORTRANGE(""https://docs.google.com/spreadsheets/d/1IYY_tgx_IHuhSq3AJ5eI5OnqOPBNLWSHKh2a30DoXe8/edit?usp=sharing"",""สตูล!J270"")"),0)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IFERROR(__xludf.DUMMYFUNCTION("IMPORTRANGE(""https://docs.google.com/spreadsheets/d/1IYY_tgx_IHuhSq3AJ5eI5OnqOPBNLWSHKh2a30DoXe8/edit?usp=sharing"",""สตูล!I271"")"),0)</f>
        <v>0</v>
      </c>
      <c r="J376" s="195">
        <f ca="1">IFERROR(__xludf.DUMMYFUNCTION("IMPORTRANGE(""https://docs.google.com/spreadsheets/d/1IYY_tgx_IHuhSq3AJ5eI5OnqOPBNLWSHKh2a30DoXe8/edit?usp=sharing"",""สตูล!J271"")"),0)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IFERROR(__xludf.DUMMYFUNCTION("IMPORTRANGE(""https://docs.google.com/spreadsheets/d/1IYY_tgx_IHuhSq3AJ5eI5OnqOPBNLWSHKh2a30DoXe8/edit?usp=sharing"",""สตูล!I272"")"),0)</f>
        <v>0</v>
      </c>
      <c r="J377" s="210">
        <f ca="1">IFERROR(__xludf.DUMMYFUNCTION("IMPORTRANGE(""https://docs.google.com/spreadsheets/d/1IYY_tgx_IHuhSq3AJ5eI5OnqOPBNLWSHKh2a30DoXe8/edit?usp=sharing"",""สตูล!J272"")"),0)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IFERROR(__xludf.DUMMYFUNCTION("IMPORTRANGE(""https://docs.google.com/spreadsheets/d/1IYY_tgx_IHuhSq3AJ5eI5OnqOPBNLWSHKh2a30DoXe8/edit?usp=sharing"",""สตูล!J273"")"),0)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IFERROR(__xludf.DUMMYFUNCTION("IMPORTRANGE(""https://docs.google.com/spreadsheets/d/1IYY_tgx_IHuhSq3AJ5eI5OnqOPBNLWSHKh2a30DoXe8/edit?usp=sharing"",""สตูล!J274"")"),0)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IFERROR(__xludf.DUMMYFUNCTION("IMPORTRANGE(""https://docs.google.com/spreadsheets/d/1IYY_tgx_IHuhSq3AJ5eI5OnqOPBNLWSHKh2a30DoXe8/edit?usp=sharing"",""สตูล!M275"")"),75100)</f>
        <v>75100</v>
      </c>
      <c r="O380" s="379">
        <f ca="1">+IF(L380&gt;0,N380*100/L380,0)</f>
        <v>85.623076046060888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IFERROR(__xludf.DUMMYFUNCTION("IMPORTRANGE(""https://docs.google.com/spreadsheets/d/1IYY_tgx_IHuhSq3AJ5eI5OnqOPBNLWSHKh2a30DoXe8/edit?usp=sharing"",""สตูล!L277"")"),0)</f>
        <v>0</v>
      </c>
      <c r="M382" s="168"/>
      <c r="N382" s="168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IFERROR(__xludf.DUMMYFUNCTION("IMPORTRANGE(""https://docs.google.com/spreadsheets/d/1IYY_tgx_IHuhSq3AJ5eI5OnqOPBNLWSHKh2a30DoXe8/edit?usp=sharing"",""สตูล!M278"")"),75100)</f>
        <v>75100</v>
      </c>
      <c r="O383" s="169">
        <f t="shared" ca="1" si="109"/>
        <v>85.623076046060888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IFERROR(__xludf.DUMMYFUNCTION("IMPORTRANGE(""https://docs.google.com/spreadsheets/d/1IYY_tgx_IHuhSq3AJ5eI5OnqOPBNLWSHKh2a30DoXe8/edit?usp=sharing"",""สตูล!L279"")"),0)</f>
        <v>0</v>
      </c>
      <c r="M384" s="175"/>
      <c r="N384" s="175">
        <f ca="1">IFERROR(__xludf.DUMMYFUNCTION("IMPORTRANGE(""https://docs.google.com/spreadsheets/d/1IYY_tgx_IHuhSq3AJ5eI5OnqOPBNLWSHKh2a30DoXe8/edit?usp=sharing"",""สตูล!M279"")"),0)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IFERROR(__xludf.DUMMYFUNCTION("IMPORTRANGE(""https://docs.google.com/spreadsheets/d/1IYY_tgx_IHuhSq3AJ5eI5OnqOPBNLWSHKh2a30DoXe8/edit?usp=sharing"",""สตูล!L280"")"),87710)</f>
        <v>87710</v>
      </c>
      <c r="M385" s="175"/>
      <c r="N385" s="172">
        <f ca="1">IFERROR(__xludf.DUMMYFUNCTION("IMPORTRANGE(""https://docs.google.com/spreadsheets/d/1IYY_tgx_IHuhSq3AJ5eI5OnqOPBNLWSHKh2a30DoXe8/edit?usp=sharing"",""สตูล!M280"")"),75100)</f>
        <v>75100</v>
      </c>
      <c r="O385" s="175">
        <f t="shared" ca="1" si="109"/>
        <v>85.623076046060888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IFERROR(__xludf.DUMMYFUNCTION("IMPORTRANGE(""https://docs.google.com/spreadsheets/d/1IYY_tgx_IHuhSq3AJ5eI5OnqOPBNLWSHKh2a30DoXe8/edit?usp=sharing"",""สตูล!M281"")"),32700)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IFERROR(__xludf.DUMMYFUNCTION("IMPORTRANGE(""https://docs.google.com/spreadsheets/d/1IYY_tgx_IHuhSq3AJ5eI5OnqOPBNLWSHKh2a30DoXe8/edit?usp=sharing"",""สตูล!M282"")"),31250)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IFERROR(__xludf.DUMMYFUNCTION("IMPORTRANGE(""https://docs.google.com/spreadsheets/d/1IYY_tgx_IHuhSq3AJ5eI5OnqOPBNLWSHKh2a30DoXe8/edit?usp=sharing"",""สตูล!M284"")"),11150)</f>
        <v>11150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IFERROR(__xludf.DUMMYFUNCTION("IMPORTRANGE(""https://docs.google.com/spreadsheets/d/1IYY_tgx_IHuhSq3AJ5eI5OnqOPBNLWSHKh2a30DoXe8/edit?usp=sharing"",""สตูล!J286"")"),0)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IFERROR(__xludf.DUMMYFUNCTION("IMPORTRANGE(""https://docs.google.com/spreadsheets/d/1IYY_tgx_IHuhSq3AJ5eI5OnqOPBNLWSHKh2a30DoXe8/edit?usp=sharing"",""สตูล!J287"")"),1)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IFERROR(__xludf.DUMMYFUNCTION("IMPORTRANGE(""https://docs.google.com/spreadsheets/d/1IYY_tgx_IHuhSq3AJ5eI5OnqOPBNLWSHKh2a30DoXe8/edit?usp=sharing"",""สตูล!J288"")"),1)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IFERROR(__xludf.DUMMYFUNCTION("IMPORTRANGE(""https://docs.google.com/spreadsheets/d/1IYY_tgx_IHuhSq3AJ5eI5OnqOPBNLWSHKh2a30DoXe8/edit?usp=sharing"",""สตูล!J289"")"),1)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IFERROR(__xludf.DUMMYFUNCTION("IMPORTRANGE(""https://docs.google.com/spreadsheets/d/1IYY_tgx_IHuhSq3AJ5eI5OnqOPBNLWSHKh2a30DoXe8/edit?usp=sharing"",""สตูล!I291"")"),5)</f>
        <v>5</v>
      </c>
      <c r="J396" s="204">
        <f ca="1">IFERROR(__xludf.DUMMYFUNCTION("IMPORTRANGE(""https://docs.google.com/spreadsheets/d/1IYY_tgx_IHuhSq3AJ5eI5OnqOPBNLWSHKh2a30DoXe8/edit?usp=sharing"",""สตูล!J291"")"),10)</f>
        <v>10</v>
      </c>
      <c r="K396" s="167">
        <f t="shared" ref="K396:K398" ca="1" si="110">IF(I396&gt;0,J396*100/I396,0)</f>
        <v>200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IFERROR(__xludf.DUMMYFUNCTION("IMPORTRANGE(""https://docs.google.com/spreadsheets/d/1IYY_tgx_IHuhSq3AJ5eI5OnqOPBNLWSHKh2a30DoXe8/edit?usp=sharing"",""สตูล!I292"")"),50)</f>
        <v>50</v>
      </c>
      <c r="J397" s="204">
        <f ca="1">IFERROR(__xludf.DUMMYFUNCTION("IMPORTRANGE(""https://docs.google.com/spreadsheets/d/1IYY_tgx_IHuhSq3AJ5eI5OnqOPBNLWSHKh2a30DoXe8/edit?usp=sharing"",""สตูล!J292"")"),50)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IFERROR(__xludf.DUMMYFUNCTION("IMPORTRANGE(""https://docs.google.com/spreadsheets/d/1IYY_tgx_IHuhSq3AJ5eI5OnqOPBNLWSHKh2a30DoXe8/edit?usp=sharing"",""สตูล!I293"")"),5)</f>
        <v>5</v>
      </c>
      <c r="J398" s="204">
        <f ca="1">IFERROR(__xludf.DUMMYFUNCTION("IMPORTRANGE(""https://docs.google.com/spreadsheets/d/1IYY_tgx_IHuhSq3AJ5eI5OnqOPBNLWSHKh2a30DoXe8/edit?usp=sharing"",""สตูล!J293"")"),5)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IFERROR(__xludf.DUMMYFUNCTION("IMPORTRANGE(""https://docs.google.com/spreadsheets/d/1IYY_tgx_IHuhSq3AJ5eI5OnqOPBNLWSHKh2a30DoXe8/edit?usp=sharing"",""สตูล!J294"")"),0)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IFERROR(__xludf.DUMMYFUNCTION("IMPORTRANGE(""https://docs.google.com/spreadsheets/d/1IYY_tgx_IHuhSq3AJ5eI5OnqOPBNLWSHKh2a30DoXe8/edit?usp=sharing"",""สตูล!J295"")"),0)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IFERROR(__xludf.DUMMYFUNCTION("IMPORTRANGE(""https://docs.google.com/spreadsheets/d/1IYY_tgx_IHuhSq3AJ5eI5OnqOPBNLWSHKh2a30DoXe8/edit?usp=sharing"",""สตูล!M296"")"),73832)</f>
        <v>73832</v>
      </c>
      <c r="O401" s="379">
        <f ca="1">+IF(L401&gt;0,N401*100/L401,0)</f>
        <v>90.458221024258762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IFERROR(__xludf.DUMMYFUNCTION("IMPORTRANGE(""https://docs.google.com/spreadsheets/d/1IYY_tgx_IHuhSq3AJ5eI5OnqOPBNLWSHKh2a30DoXe8/edit?usp=sharing"",""สตูล!L298"")"),0)</f>
        <v>0</v>
      </c>
      <c r="M403" s="168"/>
      <c r="N403" s="175">
        <f ca="1">IFERROR(__xludf.DUMMYFUNCTION("IMPORTRANGE(""https://docs.google.com/spreadsheets/d/1IYY_tgx_IHuhSq3AJ5eI5OnqOPBNLWSHKh2a30DoXe8/edit?usp=sharing"",""สตูล!M298"")"),0)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IFERROR(__xludf.DUMMYFUNCTION("IMPORTRANGE(""https://docs.google.com/spreadsheets/d/1IYY_tgx_IHuhSq3AJ5eI5OnqOPBNLWSHKh2a30DoXe8/edit?usp=sharing"",""สตูล!M299"")"),73832)</f>
        <v>73832</v>
      </c>
      <c r="O404" s="175">
        <f t="shared" ca="1" si="112"/>
        <v>90.458221024258762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IFERROR(__xludf.DUMMYFUNCTION("IMPORTRANGE(""https://docs.google.com/spreadsheets/d/1IYY_tgx_IHuhSq3AJ5eI5OnqOPBNLWSHKh2a30DoXe8/edit?usp=sharing"",""สตูล!L300"")"),0)</f>
        <v>0</v>
      </c>
      <c r="M405" s="175"/>
      <c r="N405" s="175">
        <f ca="1">IFERROR(__xludf.DUMMYFUNCTION("IMPORTRANGE(""https://docs.google.com/spreadsheets/d/1IYY_tgx_IHuhSq3AJ5eI5OnqOPBNLWSHKh2a30DoXe8/edit?usp=sharing"",""สตูล!M300"")"),0)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IFERROR(__xludf.DUMMYFUNCTION("IMPORTRANGE(""https://docs.google.com/spreadsheets/d/1IYY_tgx_IHuhSq3AJ5eI5OnqOPBNLWSHKh2a30DoXe8/edit?usp=sharing"",""สตูล!L301"")"),81620)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IFERROR(__xludf.DUMMYFUNCTION("IMPORTRANGE(""https://docs.google.com/spreadsheets/d/1IYY_tgx_IHuhSq3AJ5eI5OnqOPBNLWSHKh2a30DoXe8/edit?usp=sharing"",""สตูล!M301"")"),73832)</f>
        <v>73832</v>
      </c>
      <c r="O406" s="175">
        <f t="shared" ca="1" si="112"/>
        <v>90.458221024258762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IFERROR(__xludf.DUMMYFUNCTION("IMPORTRANGE(""https://docs.google.com/spreadsheets/d/1IYY_tgx_IHuhSq3AJ5eI5OnqOPBNLWSHKh2a30DoXe8/edit?usp=sharing"",""สตูล!M302"")"),26852)</f>
        <v>26852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IFERROR(__xludf.DUMMYFUNCTION("IMPORTRANGE(""https://docs.google.com/spreadsheets/d/1IYY_tgx_IHuhSq3AJ5eI5OnqOPBNLWSHKh2a30DoXe8/edit?usp=sharing"",""สตูล!M305"")"),31980)</f>
        <v>31980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IFERROR(__xludf.DUMMYFUNCTION("IMPORTRANGE(""https://docs.google.com/spreadsheets/d/1IYY_tgx_IHuhSq3AJ5eI5OnqOPBNLWSHKh2a30DoXe8/edit?usp=sharing"",""สตูล!J307"")"),0)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IFERROR(__xludf.DUMMYFUNCTION("IMPORTRANGE(""https://docs.google.com/spreadsheets/d/1IYY_tgx_IHuhSq3AJ5eI5OnqOPBNLWSHKh2a30DoXe8/edit?usp=sharing"",""สตูล!J308"")"),1)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IFERROR(__xludf.DUMMYFUNCTION("IMPORTRANGE(""https://docs.google.com/spreadsheets/d/1IYY_tgx_IHuhSq3AJ5eI5OnqOPBNLWSHKh2a30DoXe8/edit?usp=sharing"",""สตูล!J309"")"),1)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IFERROR(__xludf.DUMMYFUNCTION("IMPORTRANGE(""https://docs.google.com/spreadsheets/d/1IYY_tgx_IHuhSq3AJ5eI5OnqOPBNLWSHKh2a30DoXe8/edit?usp=sharing"",""สตูล!J310"")"),1)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IFERROR(__xludf.DUMMYFUNCTION("IMPORTRANGE(""https://docs.google.com/spreadsheets/d/1IYY_tgx_IHuhSq3AJ5eI5OnqOPBNLWSHKh2a30DoXe8/edit?usp=sharing"",""สตูล!I311"")"),25)</f>
        <v>25</v>
      </c>
      <c r="J416" s="207">
        <f ca="1">IFERROR(__xludf.DUMMYFUNCTION("IMPORTRANGE(""https://docs.google.com/spreadsheets/d/1IYY_tgx_IHuhSq3AJ5eI5OnqOPBNLWSHKh2a30DoXe8/edit?usp=sharing"",""สตูล!J311"")"),25)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IFERROR(__xludf.DUMMYFUNCTION("IMPORTRANGE(""https://docs.google.com/spreadsheets/d/1IYY_tgx_IHuhSq3AJ5eI5OnqOPBNLWSHKh2a30DoXe8/edit?usp=sharing"",""สตูล!J328"")"),0)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IFERROR(__xludf.DUMMYFUNCTION("IMPORTRANGE(""https://docs.google.com/spreadsheets/d/1IYY_tgx_IHuhSq3AJ5eI5OnqOPBNLWSHKh2a30DoXe8/edit?usp=sharing"",""สตูล!J329"")"),0)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IFERROR(__xludf.DUMMYFUNCTION("IMPORTRANGE(""https://docs.google.com/spreadsheets/d/1IYY_tgx_IHuhSq3AJ5eI5OnqOPBNLWSHKh2a30DoXe8/edit?usp=sharing"",""สตูล!M330"")"),72090)</f>
        <v>72090</v>
      </c>
      <c r="O435" s="418">
        <f t="shared" ref="O435:O439" ca="1" si="114">+IF(L435&gt;0,N435*100/L435,0)</f>
        <v>94.85526315789474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IFERROR(__xludf.DUMMYFUNCTION("IMPORTRANGE(""https://docs.google.com/spreadsheets/d/1IYY_tgx_IHuhSq3AJ5eI5OnqOPBNLWSHKh2a30DoXe8/edit?usp=sharing"",""สตูล!L331"")"),0)</f>
        <v>0</v>
      </c>
      <c r="M436" s="168"/>
      <c r="N436" s="175">
        <f ca="1">IFERROR(__xludf.DUMMYFUNCTION("IMPORTRANGE(""https://docs.google.com/spreadsheets/d/1IYY_tgx_IHuhSq3AJ5eI5OnqOPBNLWSHKh2a30DoXe8/edit?usp=sharing"",""สตูล!M331"")"),0)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IFERROR(__xludf.DUMMYFUNCTION("IMPORTRANGE(""https://docs.google.com/spreadsheets/d/1IYY_tgx_IHuhSq3AJ5eI5OnqOPBNLWSHKh2a30DoXe8/edit?usp=sharing"",""สตูล!L332"")"),76000)</f>
        <v>76000</v>
      </c>
      <c r="M437" s="169"/>
      <c r="N437" s="175">
        <f ca="1">IFERROR(__xludf.DUMMYFUNCTION("IMPORTRANGE(""https://docs.google.com/spreadsheets/d/1IYY_tgx_IHuhSq3AJ5eI5OnqOPBNLWSHKh2a30DoXe8/edit?usp=sharing"",""สตูล!M332"")"),72090)</f>
        <v>72090</v>
      </c>
      <c r="O437" s="175">
        <f t="shared" ca="1" si="114"/>
        <v>94.85526315789474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IFERROR(__xludf.DUMMYFUNCTION("IMPORTRANGE(""https://docs.google.com/spreadsheets/d/1IYY_tgx_IHuhSq3AJ5eI5OnqOPBNLWSHKh2a30DoXe8/edit?usp=sharing"",""สตูล!L333"")"),0)</f>
        <v>0</v>
      </c>
      <c r="M438" s="175"/>
      <c r="N438" s="175">
        <f ca="1">IFERROR(__xludf.DUMMYFUNCTION("IMPORTRANGE(""https://docs.google.com/spreadsheets/d/1IYY_tgx_IHuhSq3AJ5eI5OnqOPBNLWSHKh2a30DoXe8/edit?usp=sharing"",""สตูล!M333"")"),0)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IFERROR(__xludf.DUMMYFUNCTION("IMPORTRANGE(""https://docs.google.com/spreadsheets/d/1IYY_tgx_IHuhSq3AJ5eI5OnqOPBNLWSHKh2a30DoXe8/edit?usp=sharing"",""สตูล!L334"")"),76000)</f>
        <v>76000</v>
      </c>
      <c r="M439" s="175"/>
      <c r="N439" s="175">
        <f ca="1">IFERROR(__xludf.DUMMYFUNCTION("IMPORTRANGE(""https://docs.google.com/spreadsheets/d/1IYY_tgx_IHuhSq3AJ5eI5OnqOPBNLWSHKh2a30DoXe8/edit?usp=sharing"",""สตูล!M334"")"),72090)</f>
        <v>72090</v>
      </c>
      <c r="O439" s="175">
        <f t="shared" ca="1" si="114"/>
        <v>94.85526315789474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IFERROR(__xludf.DUMMYFUNCTION("IMPORTRANGE(""https://docs.google.com/spreadsheets/d/1IYY_tgx_IHuhSq3AJ5eI5OnqOPBNLWSHKh2a30DoXe8/edit?usp=sharing"",""สตูล!M338"")"),46890)</f>
        <v>46890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IFERROR(__xludf.DUMMYFUNCTION("IMPORTRANGE(""https://docs.google.com/spreadsheets/d/1IYY_tgx_IHuhSq3AJ5eI5OnqOPBNLWSHKh2a30DoXe8/edit?usp=sharing"",""สตูล!J340"")"),0)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IFERROR(__xludf.DUMMYFUNCTION("IMPORTRANGE(""https://docs.google.com/spreadsheets/d/1IYY_tgx_IHuhSq3AJ5eI5OnqOPBNLWSHKh2a30DoXe8/edit?usp=sharing"",""สตูล!J341"")"),1)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IFERROR(__xludf.DUMMYFUNCTION("IMPORTRANGE(""https://docs.google.com/spreadsheets/d/1IYY_tgx_IHuhSq3AJ5eI5OnqOPBNLWSHKh2a30DoXe8/edit?usp=sharing"",""สตูล!J342"")"),1)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IFERROR(__xludf.DUMMYFUNCTION("IMPORTRANGE(""https://docs.google.com/spreadsheets/d/1IYY_tgx_IHuhSq3AJ5eI5OnqOPBNLWSHKh2a30DoXe8/edit?usp=sharing"",""สตูล!J343"")"),1)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7">
        <f ca="1">IFERROR(__xludf.DUMMYFUNCTION("IMPORTRANGE(""https://docs.google.com/spreadsheets/d/1IYY_tgx_IHuhSq3AJ5eI5OnqOPBNLWSHKh2a30DoXe8/edit?usp=sharing"",""สตูล!J344"")"),10)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5">
        <f ca="1">IFERROR(__xludf.DUMMYFUNCTION("IMPORTRANGE(""https://docs.google.com/spreadsheets/d/1IYY_tgx_IHuhSq3AJ5eI5OnqOPBNLWSHKh2a30DoXe8/edit?usp=sharing"",""สตูล!J345"")"),10)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4">
        <f ca="1">IFERROR(__xludf.DUMMYFUNCTION("IMPORTRANGE(""https://docs.google.com/spreadsheets/d/1IYY_tgx_IHuhSq3AJ5eI5OnqOPBNLWSHKh2a30DoXe8/edit?usp=sharing"",""สตูล!J346"")"),0)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IFERROR(__xludf.DUMMYFUNCTION("IMPORTRANGE(""https://docs.google.com/spreadsheets/d/1IYY_tgx_IHuhSq3AJ5eI5OnqOPBNLWSHKh2a30DoXe8/edit?usp=sharing"",""สตูล!I347"")"),0)</f>
        <v>0</v>
      </c>
      <c r="J452" s="194">
        <f ca="1">IFERROR(__xludf.DUMMYFUNCTION("IMPORTRANGE(""https://docs.google.com/spreadsheets/d/1IYY_tgx_IHuhSq3AJ5eI5OnqOPBNLWSHKh2a30DoXe8/edit?usp=sharing"",""สตูล!J347"")"),0)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IFERROR(__xludf.DUMMYFUNCTION("IMPORTRANGE(""https://docs.google.com/spreadsheets/d/1IYY_tgx_IHuhSq3AJ5eI5OnqOPBNLWSHKh2a30DoXe8/edit?usp=sharing"",""สตูล!J348"")"),0)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IFERROR(__xludf.DUMMYFUNCTION("IMPORTRANGE(""https://docs.google.com/spreadsheets/d/1IYY_tgx_IHuhSq3AJ5eI5OnqOPBNLWSHKh2a30DoXe8/edit?usp=sharing"",""สตูล!J349"")"),0)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IFERROR(__xludf.DUMMYFUNCTION("IMPORTRANGE(""https://docs.google.com/spreadsheets/d/1IYY_tgx_IHuhSq3AJ5eI5OnqOPBNLWSHKh2a30DoXe8/edit?usp=sharing"",""สตูล!J350"")"),9867)</f>
        <v>9867</v>
      </c>
      <c r="K455" s="378">
        <f ca="1">IF(I455&gt;0,J455*100/I455,0)</f>
        <v>100.0202736948809</v>
      </c>
      <c r="L455" s="379">
        <f ca="1">IFERROR(__xludf.DUMMYFUNCTION("IMPORTRANGE(""https://docs.google.com/spreadsheets/d/1IYY_tgx_IHuhSq3AJ5eI5OnqOPBNLWSHKh2a30DoXe8/edit?usp=sharing"",""สตูล!L350"")"),90926)</f>
        <v>90926</v>
      </c>
      <c r="M455" s="379"/>
      <c r="N455" s="379">
        <f ca="1">IFERROR(__xludf.DUMMYFUNCTION("IMPORTRANGE(""https://docs.google.com/spreadsheets/d/1IYY_tgx_IHuhSq3AJ5eI5OnqOPBNLWSHKh2a30DoXe8/edit?usp=sharing"",""สตูล!M350"")"),83390.36)</f>
        <v>83390.36</v>
      </c>
      <c r="O455" s="379">
        <f t="shared" ref="O455:O459" ca="1" si="116">+IF(L455&gt;0,N455*100/L455,0)</f>
        <v>91.712337505224028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IFERROR(__xludf.DUMMYFUNCTION("IMPORTRANGE(""https://docs.google.com/spreadsheets/d/1IYY_tgx_IHuhSq3AJ5eI5OnqOPBNLWSHKh2a30DoXe8/edit?usp=sharing"",""สตูล!L351"")"),0)</f>
        <v>0</v>
      </c>
      <c r="M456" s="168"/>
      <c r="N456" s="175">
        <f ca="1">IFERROR(__xludf.DUMMYFUNCTION("IMPORTRANGE(""https://docs.google.com/spreadsheets/d/1IYY_tgx_IHuhSq3AJ5eI5OnqOPBNLWSHKh2a30DoXe8/edit?usp=sharing"",""สตูล!M351"")"),0)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IFERROR(__xludf.DUMMYFUNCTION("IMPORTRANGE(""https://docs.google.com/spreadsheets/d/1IYY_tgx_IHuhSq3AJ5eI5OnqOPBNLWSHKh2a30DoXe8/edit?usp=sharing"",""สตูล!L352"")"),90926)</f>
        <v>90926</v>
      </c>
      <c r="M457" s="169"/>
      <c r="N457" s="175">
        <f ca="1">IFERROR(__xludf.DUMMYFUNCTION("IMPORTRANGE(""https://docs.google.com/spreadsheets/d/1IYY_tgx_IHuhSq3AJ5eI5OnqOPBNLWSHKh2a30DoXe8/edit?usp=sharing"",""สตูล!M352"")"),83390.36)</f>
        <v>83390.36</v>
      </c>
      <c r="O457" s="175">
        <f t="shared" ca="1" si="116"/>
        <v>91.712337505224028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IFERROR(__xludf.DUMMYFUNCTION("IMPORTRANGE(""https://docs.google.com/spreadsheets/d/1IYY_tgx_IHuhSq3AJ5eI5OnqOPBNLWSHKh2a30DoXe8/edit?usp=sharing"",""สตูล!L353"")"),0)</f>
        <v>0</v>
      </c>
      <c r="M458" s="175"/>
      <c r="N458" s="175">
        <f ca="1">IFERROR(__xludf.DUMMYFUNCTION("IMPORTRANGE(""https://docs.google.com/spreadsheets/d/1IYY_tgx_IHuhSq3AJ5eI5OnqOPBNLWSHKh2a30DoXe8/edit?usp=sharing"",""สตูล!M353"")"),0)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IFERROR(__xludf.DUMMYFUNCTION("IMPORTRANGE(""https://docs.google.com/spreadsheets/d/1IYY_tgx_IHuhSq3AJ5eI5OnqOPBNLWSHKh2a30DoXe8/edit?usp=sharing"",""สตูล!L354"")"),90926)</f>
        <v>90926</v>
      </c>
      <c r="M459" s="175"/>
      <c r="N459" s="175">
        <f ca="1">IFERROR(__xludf.DUMMYFUNCTION("IMPORTRANGE(""https://docs.google.com/spreadsheets/d/1IYY_tgx_IHuhSq3AJ5eI5OnqOPBNLWSHKh2a30DoXe8/edit?usp=sharing"",""สตูล!M354"")"),83390.36)</f>
        <v>83390.36</v>
      </c>
      <c r="O459" s="175">
        <f t="shared" ca="1" si="116"/>
        <v>91.712337505224028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IFERROR(__xludf.DUMMYFUNCTION("IMPORTRANGE(""https://docs.google.com/spreadsheets/d/1IYY_tgx_IHuhSq3AJ5eI5OnqOPBNLWSHKh2a30DoXe8/edit?usp=sharing"",""สตูล!M355"")"),0)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IFERROR(__xludf.DUMMYFUNCTION("IMPORTRANGE(""https://docs.google.com/spreadsheets/d/1IYY_tgx_IHuhSq3AJ5eI5OnqOPBNLWSHKh2a30DoXe8/edit?usp=sharing"",""สตูล!M356"")"),0)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IFERROR(__xludf.DUMMYFUNCTION("IMPORTRANGE(""https://docs.google.com/spreadsheets/d/1IYY_tgx_IHuhSq3AJ5eI5OnqOPBNLWSHKh2a30DoXe8/edit?usp=sharing"",""สตูล!M358"")"),83390.36)</f>
        <v>83390.36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IFERROR(__xludf.DUMMYFUNCTION("IMPORTRANGE(""https://docs.google.com/spreadsheets/d/1IYY_tgx_IHuhSq3AJ5eI5OnqOPBNLWSHKh2a30DoXe8/edit?usp=sharing"",""สตูล!I359"")"),9865)</f>
        <v>9865</v>
      </c>
      <c r="J464" s="273">
        <f ca="1">IFERROR(__xludf.DUMMYFUNCTION("IMPORTRANGE(""https://docs.google.com/spreadsheets/d/1IYY_tgx_IHuhSq3AJ5eI5OnqOPBNLWSHKh2a30DoXe8/edit?usp=sharing"",""สตูล!J359"")"),9867)</f>
        <v>9867</v>
      </c>
      <c r="K464" s="274">
        <f t="shared" ref="K464:K515" ca="1" si="117">IF(I464&gt;0,J464*100/I464,0)</f>
        <v>100.0202736948809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IFERROR(__xludf.DUMMYFUNCTION("IMPORTRANGE(""https://docs.google.com/spreadsheets/d/1IYY_tgx_IHuhSq3AJ5eI5OnqOPBNLWSHKh2a30DoXe8/edit?usp=sharing"",""สตูล!J360"")"),9865)</f>
        <v>9865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IFERROR(__xludf.DUMMYFUNCTION("IMPORTRANGE(""https://docs.google.com/spreadsheets/d/1IYY_tgx_IHuhSq3AJ5eI5OnqOPBNLWSHKh2a30DoXe8/edit?usp=sharing"",""สตูล!J361"")"),1411)</f>
        <v>1411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IFERROR(__xludf.DUMMYFUNCTION("IMPORTRANGE(""https://docs.google.com/spreadsheets/d/1IYY_tgx_IHuhSq3AJ5eI5OnqOPBNLWSHKh2a30DoXe8/edit?usp=sharing"",""สตูล!I362"")"),0)</f>
        <v>0</v>
      </c>
      <c r="J467" s="195">
        <f ca="1">IFERROR(__xludf.DUMMYFUNCTION("IMPORTRANGE(""https://docs.google.com/spreadsheets/d/1IYY_tgx_IHuhSq3AJ5eI5OnqOPBNLWSHKh2a30DoXe8/edit?usp=sharing"",""สตูล!J362"")"),9292)</f>
        <v>9292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IFERROR(__xludf.DUMMYFUNCTION("IMPORTRANGE(""https://docs.google.com/spreadsheets/d/1IYY_tgx_IHuhSq3AJ5eI5OnqOPBNLWSHKh2a30DoXe8/edit?usp=sharing"",""สตูล!I363"")"),0)</f>
        <v>0</v>
      </c>
      <c r="J468" s="195">
        <f ca="1">IFERROR(__xludf.DUMMYFUNCTION("IMPORTRANGE(""https://docs.google.com/spreadsheets/d/1IYY_tgx_IHuhSq3AJ5eI5OnqOPBNLWSHKh2a30DoXe8/edit?usp=sharing"",""สตูล!J363"")"),1337)</f>
        <v>1337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IFERROR(__xludf.DUMMYFUNCTION("IMPORTRANGE(""https://docs.google.com/spreadsheets/d/1IYY_tgx_IHuhSq3AJ5eI5OnqOPBNLWSHKh2a30DoXe8/edit?usp=sharing"",""สตูล!I364"")"),0)</f>
        <v>0</v>
      </c>
      <c r="J469" s="195">
        <f ca="1">IFERROR(__xludf.DUMMYFUNCTION("IMPORTRANGE(""https://docs.google.com/spreadsheets/d/1IYY_tgx_IHuhSq3AJ5eI5OnqOPBNLWSHKh2a30DoXe8/edit?usp=sharing"",""สตูล!J364"")"),477)</f>
        <v>477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IFERROR(__xludf.DUMMYFUNCTION("IMPORTRANGE(""https://docs.google.com/spreadsheets/d/1IYY_tgx_IHuhSq3AJ5eI5OnqOPBNLWSHKh2a30DoXe8/edit?usp=sharing"",""สตูล!I365"")"),0)</f>
        <v>0</v>
      </c>
      <c r="J470" s="195">
        <f ca="1">IFERROR(__xludf.DUMMYFUNCTION("IMPORTRANGE(""https://docs.google.com/spreadsheets/d/1IYY_tgx_IHuhSq3AJ5eI5OnqOPBNLWSHKh2a30DoXe8/edit?usp=sharing"",""สตูล!J365"")"),57)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IFERROR(__xludf.DUMMYFUNCTION("IMPORTRANGE(""https://docs.google.com/spreadsheets/d/1IYY_tgx_IHuhSq3AJ5eI5OnqOPBNLWSHKh2a30DoXe8/edit?usp=sharing"",""สตูล!I366"")"),0)</f>
        <v>0</v>
      </c>
      <c r="J471" s="195">
        <f ca="1">IFERROR(__xludf.DUMMYFUNCTION("IMPORTRANGE(""https://docs.google.com/spreadsheets/d/1IYY_tgx_IHuhSq3AJ5eI5OnqOPBNLWSHKh2a30DoXe8/edit?usp=sharing"",""สตูล!J366"")"),96)</f>
        <v>96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IFERROR(__xludf.DUMMYFUNCTION("IMPORTRANGE(""https://docs.google.com/spreadsheets/d/1IYY_tgx_IHuhSq3AJ5eI5OnqOPBNLWSHKh2a30DoXe8/edit?usp=sharing"",""สตูล!I367"")"),0)</f>
        <v>0</v>
      </c>
      <c r="J472" s="195">
        <f ca="1">IFERROR(__xludf.DUMMYFUNCTION("IMPORTRANGE(""https://docs.google.com/spreadsheets/d/1IYY_tgx_IHuhSq3AJ5eI5OnqOPBNLWSHKh2a30DoXe8/edit?usp=sharing"",""สตูล!J367"")"),17)</f>
        <v>17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IFERROR(__xludf.DUMMYFUNCTION("IMPORTRANGE(""https://docs.google.com/spreadsheets/d/1IYY_tgx_IHuhSq3AJ5eI5OnqOPBNLWSHKh2a30DoXe8/edit?usp=sharing"",""สตูล!J368"")"),9867)</f>
        <v>9867</v>
      </c>
      <c r="K473" s="208">
        <f t="shared" ca="1" si="117"/>
        <v>100.0202736948809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IFERROR(__xludf.DUMMYFUNCTION("IMPORTRANGE(""https://docs.google.com/spreadsheets/d/1IYY_tgx_IHuhSq3AJ5eI5OnqOPBNLWSHKh2a30DoXe8/edit?usp=sharing"",""สตูล!J369"")"),1411)</f>
        <v>1411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IFERROR(__xludf.DUMMYFUNCTION("IMPORTRANGE(""https://docs.google.com/spreadsheets/d/1IYY_tgx_IHuhSq3AJ5eI5OnqOPBNLWSHKh2a30DoXe8/edit?usp=sharing"",""สตูล!I370"")"),0)</f>
        <v>0</v>
      </c>
      <c r="J475" s="195">
        <f ca="1">IFERROR(__xludf.DUMMYFUNCTION("IMPORTRANGE(""https://docs.google.com/spreadsheets/d/1IYY_tgx_IHuhSq3AJ5eI5OnqOPBNLWSHKh2a30DoXe8/edit?usp=sharing"",""สตูล!J370"")"),9340)</f>
        <v>9340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IFERROR(__xludf.DUMMYFUNCTION("IMPORTRANGE(""https://docs.google.com/spreadsheets/d/1IYY_tgx_IHuhSq3AJ5eI5OnqOPBNLWSHKh2a30DoXe8/edit?usp=sharing"",""สตูล!I371"")"),0)</f>
        <v>0</v>
      </c>
      <c r="J476" s="195">
        <f ca="1">IFERROR(__xludf.DUMMYFUNCTION("IMPORTRANGE(""https://docs.google.com/spreadsheets/d/1IYY_tgx_IHuhSq3AJ5eI5OnqOPBNLWSHKh2a30DoXe8/edit?usp=sharing"",""สตูล!J371"")"),1348)</f>
        <v>1348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IFERROR(__xludf.DUMMYFUNCTION("IMPORTRANGE(""https://docs.google.com/spreadsheets/d/1IYY_tgx_IHuhSq3AJ5eI5OnqOPBNLWSHKh2a30DoXe8/edit?usp=sharing"",""สตูล!I372"")"),0)</f>
        <v>0</v>
      </c>
      <c r="J477" s="195">
        <f ca="1">IFERROR(__xludf.DUMMYFUNCTION("IMPORTRANGE(""https://docs.google.com/spreadsheets/d/1IYY_tgx_IHuhSq3AJ5eI5OnqOPBNLWSHKh2a30DoXe8/edit?usp=sharing"",""สตูล!J372"")"),403)</f>
        <v>403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IFERROR(__xludf.DUMMYFUNCTION("IMPORTRANGE(""https://docs.google.com/spreadsheets/d/1IYY_tgx_IHuhSq3AJ5eI5OnqOPBNLWSHKh2a30DoXe8/edit?usp=sharing"",""สตูล!I373"")"),0)</f>
        <v>0</v>
      </c>
      <c r="J478" s="195">
        <f ca="1">IFERROR(__xludf.DUMMYFUNCTION("IMPORTRANGE(""https://docs.google.com/spreadsheets/d/1IYY_tgx_IHuhSq3AJ5eI5OnqOPBNLWSHKh2a30DoXe8/edit?usp=sharing"",""สตูล!J373"")"),43)</f>
        <v>43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IFERROR(__xludf.DUMMYFUNCTION("IMPORTRANGE(""https://docs.google.com/spreadsheets/d/1IYY_tgx_IHuhSq3AJ5eI5OnqOPBNLWSHKh2a30DoXe8/edit?usp=sharing"",""สตูล!I374"")"),0)</f>
        <v>0</v>
      </c>
      <c r="J479" s="195">
        <f ca="1">IFERROR(__xludf.DUMMYFUNCTION("IMPORTRANGE(""https://docs.google.com/spreadsheets/d/1IYY_tgx_IHuhSq3AJ5eI5OnqOPBNLWSHKh2a30DoXe8/edit?usp=sharing"",""สตูล!J374"")"),124)</f>
        <v>124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IFERROR(__xludf.DUMMYFUNCTION("IMPORTRANGE(""https://docs.google.com/spreadsheets/d/1IYY_tgx_IHuhSq3AJ5eI5OnqOPBNLWSHKh2a30DoXe8/edit?usp=sharing"",""สตูล!I375"")"),0)</f>
        <v>0</v>
      </c>
      <c r="J480" s="195">
        <f ca="1">IFERROR(__xludf.DUMMYFUNCTION("IMPORTRANGE(""https://docs.google.com/spreadsheets/d/1IYY_tgx_IHuhSq3AJ5eI5OnqOPBNLWSHKh2a30DoXe8/edit?usp=sharing"",""สตูล!J375"")"),20)</f>
        <v>20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IFERROR(__xludf.DUMMYFUNCTION("IMPORTRANGE(""https://docs.google.com/spreadsheets/d/1IYY_tgx_IHuhSq3AJ5eI5OnqOPBNLWSHKh2a30DoXe8/edit?usp=sharing"",""สตูล!J376"")"),9867)</f>
        <v>9867</v>
      </c>
      <c r="K481" s="208">
        <f t="shared" ca="1" si="117"/>
        <v>100.0202736948809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IFERROR(__xludf.DUMMYFUNCTION("IMPORTRANGE(""https://docs.google.com/spreadsheets/d/1IYY_tgx_IHuhSq3AJ5eI5OnqOPBNLWSHKh2a30DoXe8/edit?usp=sharing"",""สตูล!J377"")"),1411)</f>
        <v>1411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IFERROR(__xludf.DUMMYFUNCTION("IMPORTRANGE(""https://docs.google.com/spreadsheets/d/1IYY_tgx_IHuhSq3AJ5eI5OnqOPBNLWSHKh2a30DoXe8/edit?usp=sharing"",""สตูล!I378"")"),0)</f>
        <v>0</v>
      </c>
      <c r="J483" s="195">
        <f ca="1">IFERROR(__xludf.DUMMYFUNCTION("IMPORTRANGE(""https://docs.google.com/spreadsheets/d/1IYY_tgx_IHuhSq3AJ5eI5OnqOPBNLWSHKh2a30DoXe8/edit?usp=sharing"",""สตูล!J378"")"),9340)</f>
        <v>9340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IFERROR(__xludf.DUMMYFUNCTION("IMPORTRANGE(""https://docs.google.com/spreadsheets/d/1IYY_tgx_IHuhSq3AJ5eI5OnqOPBNLWSHKh2a30DoXe8/edit?usp=sharing"",""สตูล!I379"")"),0)</f>
        <v>0</v>
      </c>
      <c r="J484" s="195">
        <f ca="1">IFERROR(__xludf.DUMMYFUNCTION("IMPORTRANGE(""https://docs.google.com/spreadsheets/d/1IYY_tgx_IHuhSq3AJ5eI5OnqOPBNLWSHKh2a30DoXe8/edit?usp=sharing"",""สตูล!J379"")"),1348)</f>
        <v>1348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IFERROR(__xludf.DUMMYFUNCTION("IMPORTRANGE(""https://docs.google.com/spreadsheets/d/1IYY_tgx_IHuhSq3AJ5eI5OnqOPBNLWSHKh2a30DoXe8/edit?usp=sharing"",""สตูล!I380"")"),0)</f>
        <v>0</v>
      </c>
      <c r="J485" s="195">
        <f ca="1">IFERROR(__xludf.DUMMYFUNCTION("IMPORTRANGE(""https://docs.google.com/spreadsheets/d/1IYY_tgx_IHuhSq3AJ5eI5OnqOPBNLWSHKh2a30DoXe8/edit?usp=sharing"",""สตูล!J380"")"),403)</f>
        <v>403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IFERROR(__xludf.DUMMYFUNCTION("IMPORTRANGE(""https://docs.google.com/spreadsheets/d/1IYY_tgx_IHuhSq3AJ5eI5OnqOPBNLWSHKh2a30DoXe8/edit?usp=sharing"",""สตูล!I381"")"),0)</f>
        <v>0</v>
      </c>
      <c r="J486" s="195">
        <f ca="1">IFERROR(__xludf.DUMMYFUNCTION("IMPORTRANGE(""https://docs.google.com/spreadsheets/d/1IYY_tgx_IHuhSq3AJ5eI5OnqOPBNLWSHKh2a30DoXe8/edit?usp=sharing"",""สตูล!J381"")"),43)</f>
        <v>43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IFERROR(__xludf.DUMMYFUNCTION("IMPORTRANGE(""https://docs.google.com/spreadsheets/d/1IYY_tgx_IHuhSq3AJ5eI5OnqOPBNLWSHKh2a30DoXe8/edit?usp=sharing"",""สตูล!J382"")"),124)</f>
        <v>124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IFERROR(__xludf.DUMMYFUNCTION("IMPORTRANGE(""https://docs.google.com/spreadsheets/d/1IYY_tgx_IHuhSq3AJ5eI5OnqOPBNLWSHKh2a30DoXe8/edit?usp=sharing"",""สตูล!J383"")"),20)</f>
        <v>20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IFERROR(__xludf.DUMMYFUNCTION("IMPORTRANGE(""https://docs.google.com/spreadsheets/d/1IYY_tgx_IHuhSq3AJ5eI5OnqOPBNLWSHKh2a30DoXe8/edit?usp=sharing"",""สตูล!I384"")"),0)</f>
        <v>0</v>
      </c>
      <c r="J489" s="195">
        <f ca="1">IFERROR(__xludf.DUMMYFUNCTION("IMPORTRANGE(""https://docs.google.com/spreadsheets/d/1IYY_tgx_IHuhSq3AJ5eI5OnqOPBNLWSHKh2a30DoXe8/edit?usp=sharing"",""สตูล!J384"")"),116)</f>
        <v>116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IFERROR(__xludf.DUMMYFUNCTION("IMPORTRANGE(""https://docs.google.com/spreadsheets/d/1IYY_tgx_IHuhSq3AJ5eI5OnqOPBNLWSHKh2a30DoXe8/edit?usp=sharing"",""สตูล!I385"")"),0)</f>
        <v>0</v>
      </c>
      <c r="J490" s="195">
        <f ca="1">IFERROR(__xludf.DUMMYFUNCTION("IMPORTRANGE(""https://docs.google.com/spreadsheets/d/1IYY_tgx_IHuhSq3AJ5eI5OnqOPBNLWSHKh2a30DoXe8/edit?usp=sharing"",""สตูล!J385"")"),19)</f>
        <v>19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IFERROR(__xludf.DUMMYFUNCTION("IMPORTRANGE(""https://docs.google.com/spreadsheets/d/1IYY_tgx_IHuhSq3AJ5eI5OnqOPBNLWSHKh2a30DoXe8/edit?usp=sharing"",""สตูล!I386"")"),0)</f>
        <v>0</v>
      </c>
      <c r="J491" s="195">
        <f ca="1">IFERROR(__xludf.DUMMYFUNCTION("IMPORTRANGE(""https://docs.google.com/spreadsheets/d/1IYY_tgx_IHuhSq3AJ5eI5OnqOPBNLWSHKh2a30DoXe8/edit?usp=sharing"",""สตูล!J386"")"),8)</f>
        <v>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IFERROR(__xludf.DUMMYFUNCTION("IMPORTRANGE(""https://docs.google.com/spreadsheets/d/1IYY_tgx_IHuhSq3AJ5eI5OnqOPBNLWSHKh2a30DoXe8/edit?usp=sharing"",""สตูล!I387"")"),0)</f>
        <v>0</v>
      </c>
      <c r="J492" s="195">
        <f ca="1">IFERROR(__xludf.DUMMYFUNCTION("IMPORTRANGE(""https://docs.google.com/spreadsheets/d/1IYY_tgx_IHuhSq3AJ5eI5OnqOPBNLWSHKh2a30DoXe8/edit?usp=sharing"",""สตูล!J387"")"),1)</f>
        <v>1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IFERROR(__xludf.DUMMYFUNCTION("IMPORTRANGE(""https://docs.google.com/spreadsheets/d/1IYY_tgx_IHuhSq3AJ5eI5OnqOPBNLWSHKh2a30DoXe8/edit?usp=sharing"",""สตูล!I388"")"),0)</f>
        <v>0</v>
      </c>
      <c r="J493" s="195">
        <f ca="1">IFERROR(__xludf.DUMMYFUNCTION("IMPORTRANGE(""https://docs.google.com/spreadsheets/d/1IYY_tgx_IHuhSq3AJ5eI5OnqOPBNLWSHKh2a30DoXe8/edit?usp=sharing"",""สตูล!J388"")"),0)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IFERROR(__xludf.DUMMYFUNCTION("IMPORTRANGE(""https://docs.google.com/spreadsheets/d/1IYY_tgx_IHuhSq3AJ5eI5OnqOPBNLWSHKh2a30DoXe8/edit?usp=sharing"",""สตูล!I395"")"),0)</f>
        <v>0</v>
      </c>
      <c r="J500" s="166">
        <f ca="1">IFERROR(__xludf.DUMMYFUNCTION("IMPORTRANGE(""https://docs.google.com/spreadsheets/d/1IYY_tgx_IHuhSq3AJ5eI5OnqOPBNLWSHKh2a30DoXe8/edit?usp=sharing"",""สตูล!J395"")"),0)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IFERROR(__xludf.DUMMYFUNCTION("IMPORTRANGE(""https://docs.google.com/spreadsheets/d/1IYY_tgx_IHuhSq3AJ5eI5OnqOPBNLWSHKh2a30DoXe8/edit?usp=sharing"",""สตูล!I396"")"),0)</f>
        <v>0</v>
      </c>
      <c r="J501" s="166">
        <f ca="1">IFERROR(__xludf.DUMMYFUNCTION("IMPORTRANGE(""https://docs.google.com/spreadsheets/d/1IYY_tgx_IHuhSq3AJ5eI5OnqOPBNLWSHKh2a30DoXe8/edit?usp=sharing"",""สตูล!J396"")"),0)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IFERROR(__xludf.DUMMYFUNCTION("IMPORTRANGE(""https://docs.google.com/spreadsheets/d/1IYY_tgx_IHuhSq3AJ5eI5OnqOPBNLWSHKh2a30DoXe8/edit?usp=sharing"",""สตูล!I397"")"),0)</f>
        <v>0</v>
      </c>
      <c r="J502" s="195">
        <f ca="1">IFERROR(__xludf.DUMMYFUNCTION("IMPORTRANGE(""https://docs.google.com/spreadsheets/d/1IYY_tgx_IHuhSq3AJ5eI5OnqOPBNLWSHKh2a30DoXe8/edit?usp=sharing"",""สตูล!J397"")"),0)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IFERROR(__xludf.DUMMYFUNCTION("IMPORTRANGE(""https://docs.google.com/spreadsheets/d/1IYY_tgx_IHuhSq3AJ5eI5OnqOPBNLWSHKh2a30DoXe8/edit?usp=sharing"",""สตูล!I398"")"),0)</f>
        <v>0</v>
      </c>
      <c r="J503" s="204">
        <f ca="1">IFERROR(__xludf.DUMMYFUNCTION("IMPORTRANGE(""https://docs.google.com/spreadsheets/d/1IYY_tgx_IHuhSq3AJ5eI5OnqOPBNLWSHKh2a30DoXe8/edit?usp=sharing"",""สตูล!J398"")"),0)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IFERROR(__xludf.DUMMYFUNCTION("IMPORTRANGE(""https://docs.google.com/spreadsheets/d/1IYY_tgx_IHuhSq3AJ5eI5OnqOPBNLWSHKh2a30DoXe8/edit?usp=sharing"",""สตูล!I399"")"),0)</f>
        <v>0</v>
      </c>
      <c r="J504" s="195">
        <f ca="1">IFERROR(__xludf.DUMMYFUNCTION("IMPORTRANGE(""https://docs.google.com/spreadsheets/d/1IYY_tgx_IHuhSq3AJ5eI5OnqOPBNLWSHKh2a30DoXe8/edit?usp=sharing"",""สตูล!J399"")"),0)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IFERROR(__xludf.DUMMYFUNCTION("IMPORTRANGE(""https://docs.google.com/spreadsheets/d/1IYY_tgx_IHuhSq3AJ5eI5OnqOPBNLWSHKh2a30DoXe8/edit?usp=sharing"",""สตูล!I400"")"),0)</f>
        <v>0</v>
      </c>
      <c r="J505" s="204">
        <f ca="1">IFERROR(__xludf.DUMMYFUNCTION("IMPORTRANGE(""https://docs.google.com/spreadsheets/d/1IYY_tgx_IHuhSq3AJ5eI5OnqOPBNLWSHKh2a30DoXe8/edit?usp=sharing"",""สตูล!J400"")"),0)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IFERROR(__xludf.DUMMYFUNCTION("IMPORTRANGE(""https://docs.google.com/spreadsheets/d/1IYY_tgx_IHuhSq3AJ5eI5OnqOPBNLWSHKh2a30DoXe8/edit?usp=sharing"",""สตูล!I401"")"),0)</f>
        <v>0</v>
      </c>
      <c r="J506" s="195">
        <f ca="1">IFERROR(__xludf.DUMMYFUNCTION("IMPORTRANGE(""https://docs.google.com/spreadsheets/d/1IYY_tgx_IHuhSq3AJ5eI5OnqOPBNLWSHKh2a30DoXe8/edit?usp=sharing"",""สตูล!J401"")"),0)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IFERROR(__xludf.DUMMYFUNCTION("IMPORTRANGE(""https://docs.google.com/spreadsheets/d/1IYY_tgx_IHuhSq3AJ5eI5OnqOPBNLWSHKh2a30DoXe8/edit?usp=sharing"",""สตูล!I402"")"),0)</f>
        <v>0</v>
      </c>
      <c r="J507" s="204">
        <f ca="1">IFERROR(__xludf.DUMMYFUNCTION("IMPORTRANGE(""https://docs.google.com/spreadsheets/d/1IYY_tgx_IHuhSq3AJ5eI5OnqOPBNLWSHKh2a30DoXe8/edit?usp=sharing"",""สตูล!J402"")"),0)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IFERROR(__xludf.DUMMYFUNCTION("IMPORTRANGE(""https://docs.google.com/spreadsheets/d/1IYY_tgx_IHuhSq3AJ5eI5OnqOPBNLWSHKh2a30DoXe8/edit?usp=sharing"",""สตูล!I403"")"),0)</f>
        <v>0</v>
      </c>
      <c r="J508" s="166">
        <f ca="1">IFERROR(__xludf.DUMMYFUNCTION("IMPORTRANGE(""https://docs.google.com/spreadsheets/d/1IYY_tgx_IHuhSq3AJ5eI5OnqOPBNLWSHKh2a30DoXe8/edit?usp=sharing"",""สตูล!J403"")"),0)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IFERROR(__xludf.DUMMYFUNCTION("IMPORTRANGE(""https://docs.google.com/spreadsheets/d/1IYY_tgx_IHuhSq3AJ5eI5OnqOPBNLWSHKh2a30DoXe8/edit?usp=sharing"",""สตูล!I404"")"),0)</f>
        <v>0</v>
      </c>
      <c r="J509" s="166">
        <f ca="1">IFERROR(__xludf.DUMMYFUNCTION("IMPORTRANGE(""https://docs.google.com/spreadsheets/d/1IYY_tgx_IHuhSq3AJ5eI5OnqOPBNLWSHKh2a30DoXe8/edit?usp=sharing"",""สตูล!J404"")"),0)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IFERROR(__xludf.DUMMYFUNCTION("IMPORTRANGE(""https://docs.google.com/spreadsheets/d/1IYY_tgx_IHuhSq3AJ5eI5OnqOPBNLWSHKh2a30DoXe8/edit?usp=sharing"",""สตูล!I405"")"),0)</f>
        <v>0</v>
      </c>
      <c r="J510" s="204">
        <f ca="1">IFERROR(__xludf.DUMMYFUNCTION("IMPORTRANGE(""https://docs.google.com/spreadsheets/d/1IYY_tgx_IHuhSq3AJ5eI5OnqOPBNLWSHKh2a30DoXe8/edit?usp=sharing"",""สตูล!J405"")"),0)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IFERROR(__xludf.DUMMYFUNCTION("IMPORTRANGE(""https://docs.google.com/spreadsheets/d/1IYY_tgx_IHuhSq3AJ5eI5OnqOPBNLWSHKh2a30DoXe8/edit?usp=sharing"",""สตูล!I406"")"),0)</f>
        <v>0</v>
      </c>
      <c r="J511" s="204">
        <f ca="1">IFERROR(__xludf.DUMMYFUNCTION("IMPORTRANGE(""https://docs.google.com/spreadsheets/d/1IYY_tgx_IHuhSq3AJ5eI5OnqOPBNLWSHKh2a30DoXe8/edit?usp=sharing"",""สตูล!J406"")"),0)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IFERROR(__xludf.DUMMYFUNCTION("IMPORTRANGE(""https://docs.google.com/spreadsheets/d/1IYY_tgx_IHuhSq3AJ5eI5OnqOPBNLWSHKh2a30DoXe8/edit?usp=sharing"",""สตูล!I407"")"),0)</f>
        <v>0</v>
      </c>
      <c r="J512" s="204">
        <f ca="1">IFERROR(__xludf.DUMMYFUNCTION("IMPORTRANGE(""https://docs.google.com/spreadsheets/d/1IYY_tgx_IHuhSq3AJ5eI5OnqOPBNLWSHKh2a30DoXe8/edit?usp=sharing"",""สตูล!J407"")"),0)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IFERROR(__xludf.DUMMYFUNCTION("IMPORTRANGE(""https://docs.google.com/spreadsheets/d/1IYY_tgx_IHuhSq3AJ5eI5OnqOPBNLWSHKh2a30DoXe8/edit?usp=sharing"",""สตูล!I408"")"),0)</f>
        <v>0</v>
      </c>
      <c r="J513" s="204">
        <f ca="1">IFERROR(__xludf.DUMMYFUNCTION("IMPORTRANGE(""https://docs.google.com/spreadsheets/d/1IYY_tgx_IHuhSq3AJ5eI5OnqOPBNLWSHKh2a30DoXe8/edit?usp=sharing"",""สตูล!J408"")"),0)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IFERROR(__xludf.DUMMYFUNCTION("IMPORTRANGE(""https://docs.google.com/spreadsheets/d/1IYY_tgx_IHuhSq3AJ5eI5OnqOPBNLWSHKh2a30DoXe8/edit?usp=sharing"",""สตูล!I409"")"),0)</f>
        <v>0</v>
      </c>
      <c r="J514" s="204">
        <f ca="1">IFERROR(__xludf.DUMMYFUNCTION("IMPORTRANGE(""https://docs.google.com/spreadsheets/d/1IYY_tgx_IHuhSq3AJ5eI5OnqOPBNLWSHKh2a30DoXe8/edit?usp=sharing"",""สตูล!J409"")"),0)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IFERROR(__xludf.DUMMYFUNCTION("IMPORTRANGE(""https://docs.google.com/spreadsheets/d/1IYY_tgx_IHuhSq3AJ5eI5OnqOPBNLWSHKh2a30DoXe8/edit?usp=sharing"",""สตูล!I410"")"),0)</f>
        <v>0</v>
      </c>
      <c r="J515" s="204">
        <f ca="1">IFERROR(__xludf.DUMMYFUNCTION("IMPORTRANGE(""https://docs.google.com/spreadsheets/d/1IYY_tgx_IHuhSq3AJ5eI5OnqOPBNLWSHKh2a30DoXe8/edit?usp=sharing"",""สตูล!J410"")"),0)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IFERROR(__xludf.DUMMYFUNCTION("IMPORTRANGE(""https://docs.google.com/spreadsheets/d/1IYY_tgx_IHuhSq3AJ5eI5OnqOPBNLWSHKh2a30DoXe8/edit?usp=sharing"",""สตูล!I411"")"),0)</f>
        <v>0</v>
      </c>
      <c r="J516" s="273">
        <f ca="1">IFERROR(__xludf.DUMMYFUNCTION("IMPORTRANGE(""https://docs.google.com/spreadsheets/d/1IYY_tgx_IHuhSq3AJ5eI5OnqOPBNLWSHKh2a30DoXe8/edit?usp=sharing"",""สตูล!J411"")"),0)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IFERROR(__xludf.DUMMYFUNCTION("IMPORTRANGE(""https://docs.google.com/spreadsheets/d/1IYY_tgx_IHuhSq3AJ5eI5OnqOPBNLWSHKh2a30DoXe8/edit?usp=sharing"",""สตูล!I414"")"),0)</f>
        <v>0</v>
      </c>
      <c r="J519" s="194">
        <f ca="1">IFERROR(__xludf.DUMMYFUNCTION("IMPORTRANGE(""https://docs.google.com/spreadsheets/d/1IYY_tgx_IHuhSq3AJ5eI5OnqOPBNLWSHKh2a30DoXe8/edit?usp=sharing"",""สตูล!J414"")"),0)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IFERROR(__xludf.DUMMYFUNCTION("IMPORTRANGE(""https://docs.google.com/spreadsheets/d/1IYY_tgx_IHuhSq3AJ5eI5OnqOPBNLWSHKh2a30DoXe8/edit?usp=sharing"",""สตูล!I415"")"),0)</f>
        <v>0</v>
      </c>
      <c r="J520" s="194">
        <f ca="1">IFERROR(__xludf.DUMMYFUNCTION("IMPORTRANGE(""https://docs.google.com/spreadsheets/d/1IYY_tgx_IHuhSq3AJ5eI5OnqOPBNLWSHKh2a30DoXe8/edit?usp=sharing"",""สตูล!J415"")"),0)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IFERROR(__xludf.DUMMYFUNCTION("IMPORTRANGE(""https://docs.google.com/spreadsheets/d/1IYY_tgx_IHuhSq3AJ5eI5OnqOPBNLWSHKh2a30DoXe8/edit?usp=sharing"",""สตูล!I416"")"),0)</f>
        <v>0</v>
      </c>
      <c r="J521" s="194">
        <f ca="1">IFERROR(__xludf.DUMMYFUNCTION("IMPORTRANGE(""https://docs.google.com/spreadsheets/d/1IYY_tgx_IHuhSq3AJ5eI5OnqOPBNLWSHKh2a30DoXe8/edit?usp=sharing"",""สตูล!J416"")"),0)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IFERROR(__xludf.DUMMYFUNCTION("IMPORTRANGE(""https://docs.google.com/spreadsheets/d/1IYY_tgx_IHuhSq3AJ5eI5OnqOPBNLWSHKh2a30DoXe8/edit?usp=sharing"",""สตูล!I417"")"),0)</f>
        <v>0</v>
      </c>
      <c r="J522" s="194">
        <f ca="1">IFERROR(__xludf.DUMMYFUNCTION("IMPORTRANGE(""https://docs.google.com/spreadsheets/d/1IYY_tgx_IHuhSq3AJ5eI5OnqOPBNLWSHKh2a30DoXe8/edit?usp=sharing"",""สตูล!J417"")"),0)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IFERROR(__xludf.DUMMYFUNCTION("IMPORTRANGE(""https://docs.google.com/spreadsheets/d/1IYY_tgx_IHuhSq3AJ5eI5OnqOPBNLWSHKh2a30DoXe8/edit?usp=sharing"",""สตูล!I418"")"),0)</f>
        <v>0</v>
      </c>
      <c r="J523" s="194">
        <f ca="1">IFERROR(__xludf.DUMMYFUNCTION("IMPORTRANGE(""https://docs.google.com/spreadsheets/d/1IYY_tgx_IHuhSq3AJ5eI5OnqOPBNLWSHKh2a30DoXe8/edit?usp=sharing"",""สตูล!J418"")"),2)</f>
        <v>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IFERROR(__xludf.DUMMYFUNCTION("IMPORTRANGE(""https://docs.google.com/spreadsheets/d/1IYY_tgx_IHuhSq3AJ5eI5OnqOPBNLWSHKh2a30DoXe8/edit?usp=sharing"",""สตูล!I419"")"),0)</f>
        <v>0</v>
      </c>
      <c r="J524" s="194">
        <f ca="1">IFERROR(__xludf.DUMMYFUNCTION("IMPORTRANGE(""https://docs.google.com/spreadsheets/d/1IYY_tgx_IHuhSq3AJ5eI5OnqOPBNLWSHKh2a30DoXe8/edit?usp=sharing"",""สตูล!J419"")"),1)</f>
        <v>1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IFERROR(__xludf.DUMMYFUNCTION("IMPORTRANGE(""https://docs.google.com/spreadsheets/d/1IYY_tgx_IHuhSq3AJ5eI5OnqOPBNLWSHKh2a30DoXe8/edit?usp=sharing"",""สตูล!I422"")"),0)</f>
        <v>0</v>
      </c>
      <c r="J527" s="204">
        <f ca="1">IFERROR(__xludf.DUMMYFUNCTION("IMPORTRANGE(""https://docs.google.com/spreadsheets/d/1IYY_tgx_IHuhSq3AJ5eI5OnqOPBNLWSHKh2a30DoXe8/edit?usp=sharing"",""สตูล!J422"")"),0)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IFERROR(__xludf.DUMMYFUNCTION("IMPORTRANGE(""https://docs.google.com/spreadsheets/d/1IYY_tgx_IHuhSq3AJ5eI5OnqOPBNLWSHKh2a30DoXe8/edit?usp=sharing"",""สตูล!I423"")"),0)</f>
        <v>0</v>
      </c>
      <c r="J528" s="204">
        <f ca="1">IFERROR(__xludf.DUMMYFUNCTION("IMPORTRANGE(""https://docs.google.com/spreadsheets/d/1IYY_tgx_IHuhSq3AJ5eI5OnqOPBNLWSHKh2a30DoXe8/edit?usp=sharing"",""สตูล!J423"")"),0)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IFERROR(__xludf.DUMMYFUNCTION("IMPORTRANGE(""https://docs.google.com/spreadsheets/d/1IYY_tgx_IHuhSq3AJ5eI5OnqOPBNLWSHKh2a30DoXe8/edit?usp=sharing"",""สตูล!I424"")"),0)</f>
        <v>0</v>
      </c>
      <c r="J529" s="204">
        <f ca="1">IFERROR(__xludf.DUMMYFUNCTION("IMPORTRANGE(""https://docs.google.com/spreadsheets/d/1IYY_tgx_IHuhSq3AJ5eI5OnqOPBNLWSHKh2a30DoXe8/edit?usp=sharing"",""สตูล!J424"")"),0)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IFERROR(__xludf.DUMMYFUNCTION("IMPORTRANGE(""https://docs.google.com/spreadsheets/d/1IYY_tgx_IHuhSq3AJ5eI5OnqOPBNLWSHKh2a30DoXe8/edit?usp=sharing"",""สตูล!I425"")"),0)</f>
        <v>0</v>
      </c>
      <c r="J530" s="204">
        <f ca="1">IFERROR(__xludf.DUMMYFUNCTION("IMPORTRANGE(""https://docs.google.com/spreadsheets/d/1IYY_tgx_IHuhSq3AJ5eI5OnqOPBNLWSHKh2a30DoXe8/edit?usp=sharing"",""สตูล!J425"")"),0)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IFERROR(__xludf.DUMMYFUNCTION("IMPORTRANGE(""https://docs.google.com/spreadsheets/d/1IYY_tgx_IHuhSq3AJ5eI5OnqOPBNLWSHKh2a30DoXe8/edit?usp=sharing"",""สตูล!I426"")"),0)</f>
        <v>0</v>
      </c>
      <c r="J531" s="204">
        <f ca="1">IFERROR(__xludf.DUMMYFUNCTION("IMPORTRANGE(""https://docs.google.com/spreadsheets/d/1IYY_tgx_IHuhSq3AJ5eI5OnqOPBNLWSHKh2a30DoXe8/edit?usp=sharing"",""สตูล!J426"")"),0)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IFERROR(__xludf.DUMMYFUNCTION("IMPORTRANGE(""https://docs.google.com/spreadsheets/d/1IYY_tgx_IHuhSq3AJ5eI5OnqOPBNLWSHKh2a30DoXe8/edit?usp=sharing"",""สตูล!M428"")"),25360)</f>
        <v>25360</v>
      </c>
      <c r="O533" s="418">
        <f t="shared" ref="O533:O537" ca="1" si="118">+IF(L533&gt;0,N533*100/L533,0)</f>
        <v>77.696078431372555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IFERROR(__xludf.DUMMYFUNCTION("IMPORTRANGE(""https://docs.google.com/spreadsheets/d/1IYY_tgx_IHuhSq3AJ5eI5OnqOPBNLWSHKh2a30DoXe8/edit?usp=sharing"",""สตูล!L429"")"),0)</f>
        <v>0</v>
      </c>
      <c r="M534" s="168"/>
      <c r="N534" s="175">
        <f ca="1">IFERROR(__xludf.DUMMYFUNCTION("IMPORTRANGE(""https://docs.google.com/spreadsheets/d/1IYY_tgx_IHuhSq3AJ5eI5OnqOPBNLWSHKh2a30DoXe8/edit?usp=sharing"",""สตูล!M429"")"),0)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IFERROR(__xludf.DUMMYFUNCTION("IMPORTRANGE(""https://docs.google.com/spreadsheets/d/1IYY_tgx_IHuhSq3AJ5eI5OnqOPBNLWSHKh2a30DoXe8/edit?usp=sharing"",""สตูล!L430"")"),32640)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IFERROR(__xludf.DUMMYFUNCTION("IMPORTRANGE(""https://docs.google.com/spreadsheets/d/1IYY_tgx_IHuhSq3AJ5eI5OnqOPBNLWSHKh2a30DoXe8/edit?usp=sharing"",""สตูล!M430"")"),25360)</f>
        <v>25360</v>
      </c>
      <c r="O535" s="175">
        <f t="shared" ca="1" si="118"/>
        <v>77.696078431372555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IFERROR(__xludf.DUMMYFUNCTION("IMPORTRANGE(""https://docs.google.com/spreadsheets/d/1IYY_tgx_IHuhSq3AJ5eI5OnqOPBNLWSHKh2a30DoXe8/edit?usp=sharing"",""สตูล!L431"")"),0)</f>
        <v>0</v>
      </c>
      <c r="M536" s="175"/>
      <c r="N536" s="175">
        <f ca="1">IFERROR(__xludf.DUMMYFUNCTION("IMPORTRANGE(""https://docs.google.com/spreadsheets/d/1IYY_tgx_IHuhSq3AJ5eI5OnqOPBNLWSHKh2a30DoXe8/edit?usp=sharing"",""สตูล!M431"")"),0)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IFERROR(__xludf.DUMMYFUNCTION("IMPORTRANGE(""https://docs.google.com/spreadsheets/d/1IYY_tgx_IHuhSq3AJ5eI5OnqOPBNLWSHKh2a30DoXe8/edit?usp=sharing"",""สตูล!L432"")"),32640)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IFERROR(__xludf.DUMMYFUNCTION("IMPORTRANGE(""https://docs.google.com/spreadsheets/d/1IYY_tgx_IHuhSq3AJ5eI5OnqOPBNLWSHKh2a30DoXe8/edit?usp=sharing"",""สตูล!M432"")"),25360)</f>
        <v>25360</v>
      </c>
      <c r="O537" s="175">
        <f t="shared" ca="1" si="118"/>
        <v>77.696078431372555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IFERROR(__xludf.DUMMYFUNCTION("IMPORTRANGE(""https://docs.google.com/spreadsheets/d/1IYY_tgx_IHuhSq3AJ5eI5OnqOPBNLWSHKh2a30DoXe8/edit?usp=sharing"",""สตูล!M436"")"),8320)</f>
        <v>8320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IFERROR(__xludf.DUMMYFUNCTION("IMPORTRANGE(""https://docs.google.com/spreadsheets/d/1IYY_tgx_IHuhSq3AJ5eI5OnqOPBNLWSHKh2a30DoXe8/edit?usp=sharing"",""สตูล!J438"")"),0)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IFERROR(__xludf.DUMMYFUNCTION("IMPORTRANGE(""https://docs.google.com/spreadsheets/d/1IYY_tgx_IHuhSq3AJ5eI5OnqOPBNLWSHKh2a30DoXe8/edit?usp=sharing"",""สตูล!J439"")"),1)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IFERROR(__xludf.DUMMYFUNCTION("IMPORTRANGE(""https://docs.google.com/spreadsheets/d/1IYY_tgx_IHuhSq3AJ5eI5OnqOPBNLWSHKh2a30DoXe8/edit?usp=sharing"",""สตูล!J440"")"),1)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IFERROR(__xludf.DUMMYFUNCTION("IMPORTRANGE(""https://docs.google.com/spreadsheets/d/1IYY_tgx_IHuhSq3AJ5eI5OnqOPBNLWSHKh2a30DoXe8/edit?usp=sharing"",""สตูล!J441"")"),1)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IFERROR(__xludf.DUMMYFUNCTION("IMPORTRANGE(""https://docs.google.com/spreadsheets/d/1IYY_tgx_IHuhSq3AJ5eI5OnqOPBNLWSHKh2a30DoXe8/edit?usp=sharing"",""สตูล!I442"")"),20)</f>
        <v>20</v>
      </c>
      <c r="J547" s="195">
        <f ca="1">IFERROR(__xludf.DUMMYFUNCTION("IMPORTRANGE(""https://docs.google.com/spreadsheets/d/1IYY_tgx_IHuhSq3AJ5eI5OnqOPBNLWSHKh2a30DoXe8/edit?usp=sharing"",""สตูล!J442"")"),20)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IFERROR(__xludf.DUMMYFUNCTION("IMPORTRANGE(""https://docs.google.com/spreadsheets/d/1IYY_tgx_IHuhSq3AJ5eI5OnqOPBNLWSHKh2a30DoXe8/edit?usp=sharing"",""สตูล!J166"")"),0)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IFERROR(__xludf.DUMMYFUNCTION("IMPORTRANGE(""https://docs.google.com/spreadsheets/d/1IYY_tgx_IHuhSq3AJ5eI5OnqOPBNLWSHKh2a30DoXe8/edit?usp=sharing"",""สตูล!J444"")"),0)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IFERROR(__xludf.DUMMYFUNCTION("IMPORTRANGE(""https://docs.google.com/spreadsheets/d/1IYY_tgx_IHuhSq3AJ5eI5OnqOPBNLWSHKh2a30DoXe8/edit?usp=sharing"",""สตูล!L447"")"),0)</f>
        <v>0</v>
      </c>
      <c r="M552" s="168"/>
      <c r="N552" s="175">
        <f ca="1">IFERROR(__xludf.DUMMYFUNCTION("IMPORTRANGE(""https://docs.google.com/spreadsheets/d/1IYY_tgx_IHuhSq3AJ5eI5OnqOPBNLWSHKh2a30DoXe8/edit?usp=sharing"",""สตูล!M447"")"),0)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5">
        <f ca="1">IFERROR(__xludf.DUMMYFUNCTION("IMPORTRANGE(""https://docs.google.com/spreadsheets/d/1IYY_tgx_IHuhSq3AJ5eI5OnqOPBNLWSHKh2a30DoXe8/edit?usp=sharing"",""สตูล!M448"")"),0)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IFERROR(__xludf.DUMMYFUNCTION("IMPORTRANGE(""https://docs.google.com/spreadsheets/d/1IYY_tgx_IHuhSq3AJ5eI5OnqOPBNLWSHKh2a30DoXe8/edit?usp=sharing"",""สตูล!L449"")"),0)</f>
        <v>0</v>
      </c>
      <c r="M554" s="175"/>
      <c r="N554" s="175">
        <f ca="1">IFERROR(__xludf.DUMMYFUNCTION("IMPORTRANGE(""https://docs.google.com/spreadsheets/d/1IYY_tgx_IHuhSq3AJ5eI5OnqOPBNLWSHKh2a30DoXe8/edit?usp=sharing"",""สตูล!M449"")"),0)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IFERROR(__xludf.DUMMYFUNCTION("IMPORTRANGE(""https://docs.google.com/spreadsheets/d/1IYY_tgx_IHuhSq3AJ5eI5OnqOPBNLWSHKh2a30DoXe8/edit?usp=sharing"",""สตูล!L450"")"),0)</f>
        <v>0</v>
      </c>
      <c r="M555" s="175"/>
      <c r="N555" s="175">
        <f ca="1">IFERROR(__xludf.DUMMYFUNCTION("IMPORTRANGE(""https://docs.google.com/spreadsheets/d/1IYY_tgx_IHuhSq3AJ5eI5OnqOPBNLWSHKh2a30DoXe8/edit?usp=sharing"",""สตูล!M450"")"),0)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IFERROR(__xludf.DUMMYFUNCTION("IMPORTRANGE(""https://docs.google.com/spreadsheets/d/1IYY_tgx_IHuhSq3AJ5eI5OnqOPBNLWSHKh2a30DoXe8/edit?usp=sharing"",""สตูล!M451"")"),0)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IFERROR(__xludf.DUMMYFUNCTION("IMPORTRANGE(""https://docs.google.com/spreadsheets/d/1IYY_tgx_IHuhSq3AJ5eI5OnqOPBNLWSHKh2a30DoXe8/edit?usp=sharing"",""สตูล!M452"")"),0)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IFERROR(__xludf.DUMMYFUNCTION("IMPORTRANGE(""https://docs.google.com/spreadsheets/d/1IYY_tgx_IHuhSq3AJ5eI5OnqOPBNLWSHKh2a30DoXe8/edit?usp=sharing"",""สตูล!M453"")"),0)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IFERROR(__xludf.DUMMYFUNCTION("IMPORTRANGE(""https://docs.google.com/spreadsheets/d/1IYY_tgx_IHuhSq3AJ5eI5OnqOPBNLWSHKh2a30DoXe8/edit?usp=sharing"",""สตูล!M454"")"),0)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IFERROR(__xludf.DUMMYFUNCTION("IMPORTRANGE(""https://docs.google.com/spreadsheets/d/1IYY_tgx_IHuhSq3AJ5eI5OnqOPBNLWSHKh2a30DoXe8/edit?usp=sharing"",""สตูล!I455"")"),0)</f>
        <v>0</v>
      </c>
      <c r="J560" s="166">
        <f ca="1">IFERROR(__xludf.DUMMYFUNCTION("IMPORTRANGE(""https://docs.google.com/spreadsheets/d/1IYY_tgx_IHuhSq3AJ5eI5OnqOPBNLWSHKh2a30DoXe8/edit?usp=sharing"",""สตูล!J455"")"),0)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IFERROR(__xludf.DUMMYFUNCTION("IMPORTRANGE(""https://docs.google.com/spreadsheets/d/1IYY_tgx_IHuhSq3AJ5eI5OnqOPBNLWSHKh2a30DoXe8/edit?usp=sharing"",""สตูล!I456"")"),0)</f>
        <v>0</v>
      </c>
      <c r="J561" s="210">
        <f ca="1">IFERROR(__xludf.DUMMYFUNCTION("IMPORTRANGE(""https://docs.google.com/spreadsheets/d/1IYY_tgx_IHuhSq3AJ5eI5OnqOPBNLWSHKh2a30DoXe8/edit?usp=sharing"",""สตูล!J456"")"),0)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IFERROR(__xludf.DUMMYFUNCTION("IMPORTRANGE(""https://docs.google.com/spreadsheets/d/1IYY_tgx_IHuhSq3AJ5eI5OnqOPBNLWSHKh2a30DoXe8/edit?usp=sharing"",""สตูล!J459"")"),304)</f>
        <v>304</v>
      </c>
      <c r="K564" s="378">
        <f ca="1">IF(I564&gt;0,J564*100/I564,0)</f>
        <v>152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IFERROR(__xludf.DUMMYFUNCTION("IMPORTRANGE(""https://docs.google.com/spreadsheets/d/1IYY_tgx_IHuhSq3AJ5eI5OnqOPBNLWSHKh2a30DoXe8/edit?usp=sharing"",""สตูล!M459"")"),40580)</f>
        <v>40580</v>
      </c>
      <c r="O564" s="379">
        <f t="shared" ref="O564:O568" ca="1" si="122">+IF(L564&gt;0,N564*100/L564,0)</f>
        <v>32.599614395886888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IFERROR(__xludf.DUMMYFUNCTION("IMPORTRANGE(""https://docs.google.com/spreadsheets/d/1IYY_tgx_IHuhSq3AJ5eI5OnqOPBNLWSHKh2a30DoXe8/edit?usp=sharing"",""สตูล!L460"")"),0)</f>
        <v>0</v>
      </c>
      <c r="M565" s="168"/>
      <c r="N565" s="175">
        <f ca="1">IFERROR(__xludf.DUMMYFUNCTION("IMPORTRANGE(""https://docs.google.com/spreadsheets/d/1IYY_tgx_IHuhSq3AJ5eI5OnqOPBNLWSHKh2a30DoXe8/edit?usp=sharing"",""สตูล!M460"")"),0)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5">
        <f ca="1">IFERROR(__xludf.DUMMYFUNCTION("IMPORTRANGE(""https://docs.google.com/spreadsheets/d/1IYY_tgx_IHuhSq3AJ5eI5OnqOPBNLWSHKh2a30DoXe8/edit?usp=sharing"",""สตูล!M461"")"),40580)</f>
        <v>40580</v>
      </c>
      <c r="O566" s="175">
        <f t="shared" ca="1" si="122"/>
        <v>32.599614395886888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IFERROR(__xludf.DUMMYFUNCTION("IMPORTRANGE(""https://docs.google.com/spreadsheets/d/1IYY_tgx_IHuhSq3AJ5eI5OnqOPBNLWSHKh2a30DoXe8/edit?usp=sharing"",""สตูล!L462"")"),0)</f>
        <v>0</v>
      </c>
      <c r="M567" s="175"/>
      <c r="N567" s="175">
        <f ca="1">IFERROR(__xludf.DUMMYFUNCTION("IMPORTRANGE(""https://docs.google.com/spreadsheets/d/1IYY_tgx_IHuhSq3AJ5eI5OnqOPBNLWSHKh2a30DoXe8/edit?usp=sharing"",""สตูล!M462"")"),0)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IFERROR(__xludf.DUMMYFUNCTION("IMPORTRANGE(""https://docs.google.com/spreadsheets/d/1IYY_tgx_IHuhSq3AJ5eI5OnqOPBNLWSHKh2a30DoXe8/edit?usp=sharing"",""สตูล!L463"")"),124480)</f>
        <v>124480</v>
      </c>
      <c r="M568" s="175"/>
      <c r="N568" s="175">
        <f ca="1">IFERROR(__xludf.DUMMYFUNCTION("IMPORTRANGE(""https://docs.google.com/spreadsheets/d/1IYY_tgx_IHuhSq3AJ5eI5OnqOPBNLWSHKh2a30DoXe8/edit?usp=sharing"",""สตูล!M463"")"),40580)</f>
        <v>40580</v>
      </c>
      <c r="O568" s="175">
        <f t="shared" ca="1" si="122"/>
        <v>32.599614395886888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IFERROR(__xludf.DUMMYFUNCTION("IMPORTRANGE(""https://docs.google.com/spreadsheets/d/1IYY_tgx_IHuhSq3AJ5eI5OnqOPBNLWSHKh2a30DoXe8/edit?usp=sharing"",""สตูล!M464"")"),0)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IFERROR(__xludf.DUMMYFUNCTION("IMPORTRANGE(""https://docs.google.com/spreadsheets/d/1IYY_tgx_IHuhSq3AJ5eI5OnqOPBNLWSHKh2a30DoXe8/edit?usp=sharing"",""สตูล!M465"")"),0)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IFERROR(__xludf.DUMMYFUNCTION("IMPORTRANGE(""https://docs.google.com/spreadsheets/d/1IYY_tgx_IHuhSq3AJ5eI5OnqOPBNLWSHKh2a30DoXe8/edit?usp=sharing"",""สตูล!M467"")"),40580)</f>
        <v>40580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IFERROR(__xludf.DUMMYFUNCTION("IMPORTRANGE(""https://docs.google.com/spreadsheets/d/1IYY_tgx_IHuhSq3AJ5eI5OnqOPBNLWSHKh2a30DoXe8/edit?usp=sharing"",""สตูล!J468"")"),304)</f>
        <v>304</v>
      </c>
      <c r="K573" s="208">
        <f ca="1">IF(I573&gt;0,J573*100/I573,0)</f>
        <v>152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IFERROR(__xludf.DUMMYFUNCTION("IMPORTRANGE(""https://docs.google.com/spreadsheets/d/1IYY_tgx_IHuhSq3AJ5eI5OnqOPBNLWSHKh2a30DoXe8/edit?usp=sharing"",""สตูล!I470"")"),0)</f>
        <v>0</v>
      </c>
      <c r="J575" s="204">
        <f ca="1">IFERROR(__xludf.DUMMYFUNCTION("IMPORTRANGE(""https://docs.google.com/spreadsheets/d/1IYY_tgx_IHuhSq3AJ5eI5OnqOPBNLWSHKh2a30DoXe8/edit?usp=sharing"",""สตูล!J470"")"),7)</f>
        <v>7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IFERROR(__xludf.DUMMYFUNCTION("IMPORTRANGE(""https://docs.google.com/spreadsheets/d/1IYY_tgx_IHuhSq3AJ5eI5OnqOPBNLWSHKh2a30DoXe8/edit?usp=sharing"",""สตูล!I471"")"),0)</f>
        <v>0</v>
      </c>
      <c r="J576" s="204">
        <f ca="1">IFERROR(__xludf.DUMMYFUNCTION("IMPORTRANGE(""https://docs.google.com/spreadsheets/d/1IYY_tgx_IHuhSq3AJ5eI5OnqOPBNLWSHKh2a30DoXe8/edit?usp=sharing"",""สตูล!J471"")"),99)</f>
        <v>99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IFERROR(__xludf.DUMMYFUNCTION("IMPORTRANGE(""https://docs.google.com/spreadsheets/d/1IYY_tgx_IHuhSq3AJ5eI5OnqOPBNLWSHKh2a30DoXe8/edit?usp=sharing"",""สตูล!I472"")"),0)</f>
        <v>0</v>
      </c>
      <c r="J577" s="195">
        <f ca="1">IFERROR(__xludf.DUMMYFUNCTION("IMPORTRANGE(""https://docs.google.com/spreadsheets/d/1IYY_tgx_IHuhSq3AJ5eI5OnqOPBNLWSHKh2a30DoXe8/edit?usp=sharing"",""สตูล!J472"")"),205)</f>
        <v>205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IFERROR(__xludf.DUMMYFUNCTION("IMPORTRANGE(""https://docs.google.com/spreadsheets/d/1IYY_tgx_IHuhSq3AJ5eI5OnqOPBNLWSHKh2a30DoXe8/edit?usp=sharing"",""สตูล!I473"")"),0)</f>
        <v>0</v>
      </c>
      <c r="J578" s="204">
        <f ca="1">IFERROR(__xludf.DUMMYFUNCTION("IMPORTRANGE(""https://docs.google.com/spreadsheets/d/1IYY_tgx_IHuhSq3AJ5eI5OnqOPBNLWSHKh2a30DoXe8/edit?usp=sharing"",""สตูล!J473"")"),0)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IFERROR(__xludf.DUMMYFUNCTION("IMPORTRANGE(""https://docs.google.com/spreadsheets/d/1IYY_tgx_IHuhSq3AJ5eI5OnqOPBNLWSHKh2a30DoXe8/edit?usp=sharing"",""สตูล!I474"")"),0)</f>
        <v>0</v>
      </c>
      <c r="J579" s="204">
        <f ca="1">IFERROR(__xludf.DUMMYFUNCTION("IMPORTRANGE(""https://docs.google.com/spreadsheets/d/1IYY_tgx_IHuhSq3AJ5eI5OnqOPBNLWSHKh2a30DoXe8/edit?usp=sharing"",""สตูล!J474"")"),0)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IFERROR(__xludf.DUMMYFUNCTION("IMPORTRANGE(""https://docs.google.com/spreadsheets/d/1IYY_tgx_IHuhSq3AJ5eI5OnqOPBNLWSHKh2a30DoXe8/edit?usp=sharing"",""สตูล!L476"")"),0)</f>
        <v>0</v>
      </c>
      <c r="M581" s="168"/>
      <c r="N581" s="175">
        <f ca="1">IFERROR(__xludf.DUMMYFUNCTION("IMPORTRANGE(""https://docs.google.com/spreadsheets/d/1IYY_tgx_IHuhSq3AJ5eI5OnqOPBNLWSHKh2a30DoXe8/edit?usp=sharing"",""สตูล!M476"")"),0)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5">
        <f ca="1">IFERROR(__xludf.DUMMYFUNCTION("IMPORTRANGE(""https://docs.google.com/spreadsheets/d/1IYY_tgx_IHuhSq3AJ5eI5OnqOPBNLWSHKh2a30DoXe8/edit?usp=sharing"",""สตูล!M477"")"),0)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IFERROR(__xludf.DUMMYFUNCTION("IMPORTRANGE(""https://docs.google.com/spreadsheets/d/1IYY_tgx_IHuhSq3AJ5eI5OnqOPBNLWSHKh2a30DoXe8/edit?usp=sharing"",""สตูล!L478"")"),0)</f>
        <v>0</v>
      </c>
      <c r="M583" s="175"/>
      <c r="N583" s="175">
        <f ca="1">IFERROR(__xludf.DUMMYFUNCTION("IMPORTRANGE(""https://docs.google.com/spreadsheets/d/1IYY_tgx_IHuhSq3AJ5eI5OnqOPBNLWSHKh2a30DoXe8/edit?usp=sharing"",""สตูล!M478"")"),0)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IFERROR(__xludf.DUMMYFUNCTION("IMPORTRANGE(""https://docs.google.com/spreadsheets/d/1IYY_tgx_IHuhSq3AJ5eI5OnqOPBNLWSHKh2a30DoXe8/edit?usp=sharing"",""สตูล!L479"")"),0)</f>
        <v>0</v>
      </c>
      <c r="M584" s="175"/>
      <c r="N584" s="175">
        <f ca="1">IFERROR(__xludf.DUMMYFUNCTION("IMPORTRANGE(""https://docs.google.com/spreadsheets/d/1IYY_tgx_IHuhSq3AJ5eI5OnqOPBNLWSHKh2a30DoXe8/edit?usp=sharing"",""สตูล!M479"")"),0)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IFERROR(__xludf.DUMMYFUNCTION("IMPORTRANGE(""https://docs.google.com/spreadsheets/d/1IYY_tgx_IHuhSq3AJ5eI5OnqOPBNLWSHKh2a30DoXe8/edit?usp=sharing"",""สตูล!M480"")"),0)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IFERROR(__xludf.DUMMYFUNCTION("IMPORTRANGE(""https://docs.google.com/spreadsheets/d/1IYY_tgx_IHuhSq3AJ5eI5OnqOPBNLWSHKh2a30DoXe8/edit?usp=sharing"",""สตูล!M481"")"),0)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IFERROR(__xludf.DUMMYFUNCTION("IMPORTRANGE(""https://docs.google.com/spreadsheets/d/1IYY_tgx_IHuhSq3AJ5eI5OnqOPBNLWSHKh2a30DoXe8/edit?usp=sharing"",""สตูล!M482"")"),0)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IFERROR(__xludf.DUMMYFUNCTION("IMPORTRANGE(""https://docs.google.com/spreadsheets/d/1IYY_tgx_IHuhSq3AJ5eI5OnqOPBNLWSHKh2a30DoXe8/edit?usp=sharing"",""สตูล!M483"")"),0)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4">
        <f ca="1">IFERROR(__xludf.DUMMYFUNCTION("IMPORTRANGE(""https://docs.google.com/spreadsheets/d/1IYY_tgx_IHuhSq3AJ5eI5OnqOPBNLWSHKh2a30DoXe8/edit?usp=sharing"",""สตูล!J484"")"),0)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4">
        <f ca="1">IFERROR(__xludf.DUMMYFUNCTION("IMPORTRANGE(""https://docs.google.com/spreadsheets/d/1IYY_tgx_IHuhSq3AJ5eI5OnqOPBNLWSHKh2a30DoXe8/edit?usp=sharing"",""สตูล!J485"")"),0)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4">
        <f ca="1">IFERROR(__xludf.DUMMYFUNCTION("IMPORTRANGE(""https://docs.google.com/spreadsheets/d/1IYY_tgx_IHuhSq3AJ5eI5OnqOPBNLWSHKh2a30DoXe8/edit?usp=sharing"",""สตูล!J486"")"),0)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4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4">
        <f ca="1">IFERROR(__xludf.DUMMYFUNCTION("IMPORTRANGE(""https://docs.google.com/spreadsheets/d/1IYY_tgx_IHuhSq3AJ5eI5OnqOPBNLWSHKh2a30DoXe8/edit?usp=sharing"",""สตูล!J488"")"),0)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4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4">
        <f ca="1">IFERROR(__xludf.DUMMYFUNCTION("IMPORTRANGE(""https://docs.google.com/spreadsheets/d/1IYY_tgx_IHuhSq3AJ5eI5OnqOPBNLWSHKh2a30DoXe8/edit?usp=sharing"",""สตูล!J490"")"),0)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IFERROR(__xludf.DUMMYFUNCTION("IMPORTRANGE(""https://docs.google.com/spreadsheets/d/1IYY_tgx_IHuhSq3AJ5eI5OnqOPBNLWSHKh2a30DoXe8/edit?usp=sharing"",""สตูล!I491"")"),0)</f>
        <v>0</v>
      </c>
      <c r="J596" s="247">
        <f ca="1">IFERROR(__xludf.DUMMYFUNCTION("IMPORTRANGE(""https://docs.google.com/spreadsheets/d/1IYY_tgx_IHuhSq3AJ5eI5OnqOPBNLWSHKh2a30DoXe8/edit?usp=sharing"",""สตูล!J491"")"),0)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4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IFERROR(__xludf.DUMMYFUNCTION("IMPORTRANGE(""https://docs.google.com/spreadsheets/d/1IYY_tgx_IHuhSq3AJ5eI5OnqOPBNLWSHKh2a30DoXe8/edit?usp=sharing"",""สตูล!M492"")"),1140)</f>
        <v>1140</v>
      </c>
      <c r="O597" s="418">
        <f t="shared" ref="O597:O601" ca="1" si="126">+IF(L597&gt;0,N597*100/L597,0)</f>
        <v>14.074074074074074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IFERROR(__xludf.DUMMYFUNCTION("IMPORTRANGE(""https://docs.google.com/spreadsheets/d/1IYY_tgx_IHuhSq3AJ5eI5OnqOPBNLWSHKh2a30DoXe8/edit?usp=sharing"",""สตูล!L493"")"),0)</f>
        <v>0</v>
      </c>
      <c r="M598" s="168"/>
      <c r="N598" s="175">
        <f ca="1">IFERROR(__xludf.DUMMYFUNCTION("IMPORTRANGE(""https://docs.google.com/spreadsheets/d/1IYY_tgx_IHuhSq3AJ5eI5OnqOPBNLWSHKh2a30DoXe8/edit?usp=sharing"",""สตูล!M493"")"),0)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IFERROR(__xludf.DUMMYFUNCTION("IMPORTRANGE(""https://docs.google.com/spreadsheets/d/1IYY_tgx_IHuhSq3AJ5eI5OnqOPBNLWSHKh2a30DoXe8/edit?usp=sharing"",""สตูล!L494"")"),8100)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IFERROR(__xludf.DUMMYFUNCTION("IMPORTRANGE(""https://docs.google.com/spreadsheets/d/1IYY_tgx_IHuhSq3AJ5eI5OnqOPBNLWSHKh2a30DoXe8/edit?usp=sharing"",""สตูล!M494"")"),1140)</f>
        <v>1140</v>
      </c>
      <c r="O599" s="175">
        <f t="shared" ca="1" si="126"/>
        <v>14.074074074074074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IFERROR(__xludf.DUMMYFUNCTION("IMPORTRANGE(""https://docs.google.com/spreadsheets/d/1IYY_tgx_IHuhSq3AJ5eI5OnqOPBNLWSHKh2a30DoXe8/edit?usp=sharing"",""สตูล!L495"")"),0)</f>
        <v>0</v>
      </c>
      <c r="M600" s="175"/>
      <c r="N600" s="175">
        <f ca="1">IFERROR(__xludf.DUMMYFUNCTION("IMPORTRANGE(""https://docs.google.com/spreadsheets/d/1IYY_tgx_IHuhSq3AJ5eI5OnqOPBNLWSHKh2a30DoXe8/edit?usp=sharing"",""สตูล!M495"")"),0)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IFERROR(__xludf.DUMMYFUNCTION("IMPORTRANGE(""https://docs.google.com/spreadsheets/d/1IYY_tgx_IHuhSq3AJ5eI5OnqOPBNLWSHKh2a30DoXe8/edit?usp=sharing"",""สตูล!L496"")"),8100)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IFERROR(__xludf.DUMMYFUNCTION("IMPORTRANGE(""https://docs.google.com/spreadsheets/d/1IYY_tgx_IHuhSq3AJ5eI5OnqOPBNLWSHKh2a30DoXe8/edit?usp=sharing"",""สตูล!M496"")"),1140)</f>
        <v>1140</v>
      </c>
      <c r="O601" s="175">
        <f t="shared" ca="1" si="126"/>
        <v>14.074074074074074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IFERROR(__xludf.DUMMYFUNCTION("IMPORTRANGE(""https://docs.google.com/spreadsheets/d/1IYY_tgx_IHuhSq3AJ5eI5OnqOPBNLWSHKh2a30DoXe8/edit?usp=sharing"",""สตูล!M497"")"),0)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IFERROR(__xludf.DUMMYFUNCTION("IMPORTRANGE(""https://docs.google.com/spreadsheets/d/1IYY_tgx_IHuhSq3AJ5eI5OnqOPBNLWSHKh2a30DoXe8/edit?usp=sharing"",""สตูล!M498"")"),0)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IFERROR(__xludf.DUMMYFUNCTION("IMPORTRANGE(""https://docs.google.com/spreadsheets/d/1IYY_tgx_IHuhSq3AJ5eI5OnqOPBNLWSHKh2a30DoXe8/edit?usp=sharing"",""สตูล!M500"")"),1140)</f>
        <v>1140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IFERROR(__xludf.DUMMYFUNCTION("IMPORTRANGE(""https://docs.google.com/spreadsheets/d/1IYY_tgx_IHuhSq3AJ5eI5OnqOPBNLWSHKh2a30DoXe8/edit?usp=sharing"",""สตูล!J502"")"),0)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IFERROR(__xludf.DUMMYFUNCTION("IMPORTRANGE(""https://docs.google.com/spreadsheets/d/1IYY_tgx_IHuhSq3AJ5eI5OnqOPBNLWSHKh2a30DoXe8/edit?usp=sharing"",""สตูล!J503"")"),1)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IFERROR(__xludf.DUMMYFUNCTION("IMPORTRANGE(""https://docs.google.com/spreadsheets/d/1IYY_tgx_IHuhSq3AJ5eI5OnqOPBNLWSHKh2a30DoXe8/edit?usp=sharing"",""สตูล!J166"")"),0)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IFERROR(__xludf.DUMMYFUNCTION("IMPORTRANGE(""https://docs.google.com/spreadsheets/d/1IYY_tgx_IHuhSq3AJ5eI5OnqOPBNLWSHKh2a30DoXe8/edit?usp=sharing"",""สตูล!J166"")"),0)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IFERROR(__xludf.DUMMYFUNCTION("IMPORTRANGE(""https://docs.google.com/spreadsheets/d/1IYY_tgx_IHuhSq3AJ5eI5OnqOPBNLWSHKh2a30DoXe8/edit?usp=sharing"",""สตูล!I506"")"),100)</f>
        <v>100</v>
      </c>
      <c r="J611" s="166">
        <f ca="1">IFERROR(__xludf.DUMMYFUNCTION("IMPORTRANGE(""https://docs.google.com/spreadsheets/d/1IYY_tgx_IHuhSq3AJ5eI5OnqOPBNLWSHKh2a30DoXe8/edit?usp=sharing"",""สตูล!J506"")"),0)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IFERROR(__xludf.DUMMYFUNCTION("IMPORTRANGE(""https://docs.google.com/spreadsheets/d/1IYY_tgx_IHuhSq3AJ5eI5OnqOPBNLWSHKh2a30DoXe8/edit?usp=sharing"",""สตูล!I507"")"),0)</f>
        <v>0</v>
      </c>
      <c r="J612" s="204">
        <f ca="1">IFERROR(__xludf.DUMMYFUNCTION("IMPORTRANGE(""https://docs.google.com/spreadsheets/d/1IYY_tgx_IHuhSq3AJ5eI5OnqOPBNLWSHKh2a30DoXe8/edit?usp=sharing"",""สตูล!J507"")"),0)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IFERROR(__xludf.DUMMYFUNCTION("IMPORTRANGE(""https://docs.google.com/spreadsheets/d/1IYY_tgx_IHuhSq3AJ5eI5OnqOPBNLWSHKh2a30DoXe8/edit?usp=sharing"",""สตูล!I508"")"),0)</f>
        <v>0</v>
      </c>
      <c r="J613" s="204">
        <f ca="1">IFERROR(__xludf.DUMMYFUNCTION("IMPORTRANGE(""https://docs.google.com/spreadsheets/d/1IYY_tgx_IHuhSq3AJ5eI5OnqOPBNLWSHKh2a30DoXe8/edit?usp=sharing"",""สตูล!J508"")"),0)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IFERROR(__xludf.DUMMYFUNCTION("IMPORTRANGE(""https://docs.google.com/spreadsheets/d/1IYY_tgx_IHuhSq3AJ5eI5OnqOPBNLWSHKh2a30DoXe8/edit?usp=sharing"",""สตูล!I509"")"),0)</f>
        <v>0</v>
      </c>
      <c r="J614" s="204">
        <f ca="1">IFERROR(__xludf.DUMMYFUNCTION("IMPORTRANGE(""https://docs.google.com/spreadsheets/d/1IYY_tgx_IHuhSq3AJ5eI5OnqOPBNLWSHKh2a30DoXe8/edit?usp=sharing"",""สตูล!J509"")"),0)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IFERROR(__xludf.DUMMYFUNCTION("IMPORTRANGE(""https://docs.google.com/spreadsheets/d/1IYY_tgx_IHuhSq3AJ5eI5OnqOPBNLWSHKh2a30DoXe8/edit?usp=sharing"",""สตูล!I510"")"),0)</f>
        <v>0</v>
      </c>
      <c r="J615" s="204">
        <f ca="1">IFERROR(__xludf.DUMMYFUNCTION("IMPORTRANGE(""https://docs.google.com/spreadsheets/d/1IYY_tgx_IHuhSq3AJ5eI5OnqOPBNLWSHKh2a30DoXe8/edit?usp=sharing"",""สตูล!J510"")"),0)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IFERROR(__xludf.DUMMYFUNCTION("IMPORTRANGE(""https://docs.google.com/spreadsheets/d/1IYY_tgx_IHuhSq3AJ5eI5OnqOPBNLWSHKh2a30DoXe8/edit?usp=sharing"",""สตูล!I511"")"),0)</f>
        <v>0</v>
      </c>
      <c r="J616" s="204">
        <f ca="1">IFERROR(__xludf.DUMMYFUNCTION("IMPORTRANGE(""https://docs.google.com/spreadsheets/d/1IYY_tgx_IHuhSq3AJ5eI5OnqOPBNLWSHKh2a30DoXe8/edit?usp=sharing"",""สตูล!J511"")"),0)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IFERROR(__xludf.DUMMYFUNCTION("IMPORTRANGE(""https://docs.google.com/spreadsheets/d/1IYY_tgx_IHuhSq3AJ5eI5OnqOPBNLWSHKh2a30DoXe8/edit?usp=sharing"",""สตูล!I512"")"),0)</f>
        <v>0</v>
      </c>
      <c r="J617" s="194">
        <f ca="1">IFERROR(__xludf.DUMMYFUNCTION("IMPORTRANGE(""https://docs.google.com/spreadsheets/d/1IYY_tgx_IHuhSq3AJ5eI5OnqOPBNLWSHKh2a30DoXe8/edit?usp=sharing"",""สตูล!J512"")"),0)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IFERROR(__xludf.DUMMYFUNCTION("IMPORTRANGE(""https://docs.google.com/spreadsheets/d/1IYY_tgx_IHuhSq3AJ5eI5OnqOPBNLWSHKh2a30DoXe8/edit?usp=sharing"",""สตูล!I513"")"),0)</f>
        <v>0</v>
      </c>
      <c r="J618" s="195">
        <f ca="1">IFERROR(__xludf.DUMMYFUNCTION("IMPORTRANGE(""https://docs.google.com/spreadsheets/d/1IYY_tgx_IHuhSq3AJ5eI5OnqOPBNLWSHKh2a30DoXe8/edit?usp=sharing"",""สตูล!J513"")"),0)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IFERROR(__xludf.DUMMYFUNCTION("IMPORTRANGE(""https://docs.google.com/spreadsheets/d/1IYY_tgx_IHuhSq3AJ5eI5OnqOPBNLWSHKh2a30DoXe8/edit?usp=sharing"",""สตูล!I514"")"),0)</f>
        <v>0</v>
      </c>
      <c r="J619" s="195">
        <f ca="1">IFERROR(__xludf.DUMMYFUNCTION("IMPORTRANGE(""https://docs.google.com/spreadsheets/d/1IYY_tgx_IHuhSq3AJ5eI5OnqOPBNLWSHKh2a30DoXe8/edit?usp=sharing"",""สตูล!J514"")"),0)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IFERROR(__xludf.DUMMYFUNCTION("IMPORTRANGE(""https://docs.google.com/spreadsheets/d/1IYY_tgx_IHuhSq3AJ5eI5OnqOPBNLWSHKh2a30DoXe8/edit?usp=sharing"",""สตูล!I515"")"),0)</f>
        <v>0</v>
      </c>
      <c r="J620" s="209">
        <f ca="1">IFERROR(__xludf.DUMMYFUNCTION("IMPORTRANGE(""https://docs.google.com/spreadsheets/d/1IYY_tgx_IHuhSq3AJ5eI5OnqOPBNLWSHKh2a30DoXe8/edit?usp=sharing"",""สตูล!J515"")"),0)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IFERROR(__xludf.DUMMYFUNCTION("IMPORTRANGE(""https://docs.google.com/spreadsheets/d/1IYY_tgx_IHuhSq3AJ5eI5OnqOPBNLWSHKh2a30DoXe8/edit?usp=sharing"",""สตูล!I516"")"),0)</f>
        <v>0</v>
      </c>
      <c r="J621" s="209">
        <f ca="1">IFERROR(__xludf.DUMMYFUNCTION("IMPORTRANGE(""https://docs.google.com/spreadsheets/d/1IYY_tgx_IHuhSq3AJ5eI5OnqOPBNLWSHKh2a30DoXe8/edit?usp=sharing"",""สตูล!J516"")"),0)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IFERROR(__xludf.DUMMYFUNCTION("IMPORTRANGE(""https://docs.google.com/spreadsheets/d/1IYY_tgx_IHuhSq3AJ5eI5OnqOPBNLWSHKh2a30DoXe8/edit?usp=sharing"",""สตูล!I517"")"),0)</f>
        <v>0</v>
      </c>
      <c r="J622" s="195">
        <f ca="1">IFERROR(__xludf.DUMMYFUNCTION("IMPORTRANGE(""https://docs.google.com/spreadsheets/d/1IYY_tgx_IHuhSq3AJ5eI5OnqOPBNLWSHKh2a30DoXe8/edit?usp=sharing"",""สตูล!J517"")"),0)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IFERROR(__xludf.DUMMYFUNCTION("IMPORTRANGE(""https://docs.google.com/spreadsheets/d/1IYY_tgx_IHuhSq3AJ5eI5OnqOPBNLWSHKh2a30DoXe8/edit?usp=sharing"",""สตูล!I518"")"),0)</f>
        <v>0</v>
      </c>
      <c r="J623" s="195">
        <f ca="1">IFERROR(__xludf.DUMMYFUNCTION("IMPORTRANGE(""https://docs.google.com/spreadsheets/d/1IYY_tgx_IHuhSq3AJ5eI5OnqOPBNLWSHKh2a30DoXe8/edit?usp=sharing"",""สตูล!J518"")"),0)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IFERROR(__xludf.DUMMYFUNCTION("IMPORTRANGE(""https://docs.google.com/spreadsheets/d/1IYY_tgx_IHuhSq3AJ5eI5OnqOPBNLWSHKh2a30DoXe8/edit?usp=sharing"",""สตูล!I519"")"),0)</f>
        <v>0</v>
      </c>
      <c r="J624" s="194">
        <f ca="1">IFERROR(__xludf.DUMMYFUNCTION("IMPORTRANGE(""https://docs.google.com/spreadsheets/d/1IYY_tgx_IHuhSq3AJ5eI5OnqOPBNLWSHKh2a30DoXe8/edit?usp=sharing"",""สตูล!J519"")"),0)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IFERROR(__xludf.DUMMYFUNCTION("IMPORTRANGE(""https://docs.google.com/spreadsheets/d/1IYY_tgx_IHuhSq3AJ5eI5OnqOPBNLWSHKh2a30DoXe8/edit?usp=sharing"",""สตูล!I520"")"),0)</f>
        <v>0</v>
      </c>
      <c r="J625" s="195">
        <f ca="1">IFERROR(__xludf.DUMMYFUNCTION("IMPORTRANGE(""https://docs.google.com/spreadsheets/d/1IYY_tgx_IHuhSq3AJ5eI5OnqOPBNLWSHKh2a30DoXe8/edit?usp=sharing"",""สตูล!J520"")"),0)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IFERROR(__xludf.DUMMYFUNCTION("IMPORTRANGE(""https://docs.google.com/spreadsheets/d/1IYY_tgx_IHuhSq3AJ5eI5OnqOPBNLWSHKh2a30DoXe8/edit?usp=sharing"",""สตูล!I521"")"),0)</f>
        <v>0</v>
      </c>
      <c r="J626" s="195">
        <f ca="1">IFERROR(__xludf.DUMMYFUNCTION("IMPORTRANGE(""https://docs.google.com/spreadsheets/d/1IYY_tgx_IHuhSq3AJ5eI5OnqOPBNLWSHKh2a30DoXe8/edit?usp=sharing"",""สตูล!J521"")"),0)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IFERROR(__xludf.DUMMYFUNCTION("IMPORTRANGE(""https://docs.google.com/spreadsheets/d/1IYY_tgx_IHuhSq3AJ5eI5OnqOPBNLWSHKh2a30DoXe8/edit?usp=sharing"",""สตูล!J523"")"),299384.91)</f>
        <v>299384.90999999997</v>
      </c>
      <c r="K628" s="348">
        <f t="shared" ref="K628:K635" ca="1" si="129">IF(I628&gt;0,J628*100/I628,0)</f>
        <v>100.18741411984885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IFERROR(__xludf.DUMMYFUNCTION("IMPORTRANGE(""https://docs.google.com/spreadsheets/d/1IYY_tgx_IHuhSq3AJ5eI5OnqOPBNLWSHKh2a30DoXe8/edit?usp=sharing"",""สตูล!J524"")"),36)</f>
        <v>36</v>
      </c>
      <c r="K629" s="348">
        <f t="shared" ca="1" si="129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IFERROR(__xludf.DUMMYFUNCTION("IMPORTRANGE(""https://docs.google.com/spreadsheets/d/1IYY_tgx_IHuhSq3AJ5eI5OnqOPBNLWSHKh2a30DoXe8/edit?usp=sharing"",""สตูล!J525"")"),4373)</f>
        <v>4373</v>
      </c>
      <c r="K630" s="348">
        <f t="shared" ca="1" si="129"/>
        <v>35.257598967991612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IFERROR(__xludf.DUMMYFUNCTION("IMPORTRANGE(""https://docs.google.com/spreadsheets/d/1IYY_tgx_IHuhSq3AJ5eI5OnqOPBNLWSHKh2a30DoXe8/edit?usp=sharing"",""สตูล!I529"")"),510000)</f>
        <v>510000</v>
      </c>
      <c r="J634" s="347">
        <f ca="1">IFERROR(__xludf.DUMMYFUNCTION("IMPORTRANGE(""https://docs.google.com/spreadsheets/d/1IYY_tgx_IHuhSq3AJ5eI5OnqOPBNLWSHKh2a30DoXe8/edit?usp=sharing"",""สตูล!J529"")"),270000)</f>
        <v>270000</v>
      </c>
      <c r="K634" s="348">
        <f t="shared" ca="1" si="129"/>
        <v>52.941176470588232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IFERROR(__xludf.DUMMYFUNCTION("IMPORTRANGE(""https://docs.google.com/spreadsheets/d/1IYY_tgx_IHuhSq3AJ5eI5OnqOPBNLWSHKh2a30DoXe8/edit?usp=sharing"",""สตูล!I530"")"),17)</f>
        <v>17</v>
      </c>
      <c r="J635" s="518">
        <f ca="1">IFERROR(__xludf.DUMMYFUNCTION("IMPORTRANGE(""https://docs.google.com/spreadsheets/d/1IYY_tgx_IHuhSq3AJ5eI5OnqOPBNLWSHKh2a30DoXe8/edit?usp=sharing"",""สตูล!J530"")"),9)</f>
        <v>9</v>
      </c>
      <c r="K635" s="493">
        <f t="shared" ca="1" si="129"/>
        <v>52.941176470588232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IFERROR(__xludf.DUMMYFUNCTION("IMPORTRANGE(""https://docs.google.com/spreadsheets/d/1IYY_tgx_IHuhSq3AJ5eI5OnqOPBNLWSHKh2a30DoXe8/edit?usp=sharing"",""สตูล!J541"")"),0)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IFERROR(__xludf.DUMMYFUNCTION("IMPORTRANGE(""https://docs.google.com/spreadsheets/d/1IYY_tgx_IHuhSq3AJ5eI5OnqOPBNLWSHKh2a30DoXe8/edit?usp=sharing"",""สตูล!J542"")"),0)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IFERROR(__xludf.DUMMYFUNCTION("IMPORTRANGE(""https://docs.google.com/spreadsheets/d/1IYY_tgx_IHuhSq3AJ5eI5OnqOPBNLWSHKh2a30DoXe8/edit?usp=sharing"",""สตูล!I543"")"),0)</f>
        <v>0</v>
      </c>
      <c r="J648" s="547">
        <f ca="1">IFERROR(__xludf.DUMMYFUNCTION("IMPORTRANGE(""https://docs.google.com/spreadsheets/d/1IYY_tgx_IHuhSq3AJ5eI5OnqOPBNLWSHKh2a30DoXe8/edit?usp=sharing"",""สตูล!J543"")"),0)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IFERROR(__xludf.DUMMYFUNCTION("IMPORTRANGE(""https://docs.google.com/spreadsheets/d/1IYY_tgx_IHuhSq3AJ5eI5OnqOPBNLWSHKh2a30DoXe8/edit?usp=sharing"",""สตูล!L543"")"),0)</f>
        <v>0</v>
      </c>
      <c r="M648" s="534"/>
      <c r="N648" s="549">
        <f ca="1">IFERROR(__xludf.DUMMYFUNCTION("IMPORTRANGE(""https://docs.google.com/spreadsheets/d/1IYY_tgx_IHuhSq3AJ5eI5OnqOPBNLWSHKh2a30DoXe8/edit?usp=sharing"",""สตูล!M543"")"),0)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IFERROR(__xludf.DUMMYFUNCTION("IMPORTRANGE(""https://docs.google.com/spreadsheets/d/1IYY_tgx_IHuhSq3AJ5eI5OnqOPBNLWSHKh2a30DoXe8/edit?usp=sharing"",""สตูล!I544"")"),0)</f>
        <v>0</v>
      </c>
      <c r="J649" s="547">
        <f ca="1">IFERROR(__xludf.DUMMYFUNCTION("IMPORTRANGE(""https://docs.google.com/spreadsheets/d/1IYY_tgx_IHuhSq3AJ5eI5OnqOPBNLWSHKh2a30DoXe8/edit?usp=sharing"",""สตูล!J544"")"),0)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IFERROR(__xludf.DUMMYFUNCTION("IMPORTRANGE(""https://docs.google.com/spreadsheets/d/1IYY_tgx_IHuhSq3AJ5eI5OnqOPBNLWSHKh2a30DoXe8/edit?usp=sharing"",""สตูล!L544"")"),0)</f>
        <v>0</v>
      </c>
      <c r="M649" s="534"/>
      <c r="N649" s="549">
        <f ca="1">IFERROR(__xludf.DUMMYFUNCTION("IMPORTRANGE(""https://docs.google.com/spreadsheets/d/1IYY_tgx_IHuhSq3AJ5eI5OnqOPBNLWSHKh2a30DoXe8/edit?usp=sharing"",""สตูล!M544"")"),0)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IFERROR(__xludf.DUMMYFUNCTION("IMPORTRANGE(""https://docs.google.com/spreadsheets/d/1IYY_tgx_IHuhSq3AJ5eI5OnqOPBNLWSHKh2a30DoXe8/edit?usp=sharing"",""สตูล!I545"")"),0)</f>
        <v>0</v>
      </c>
      <c r="J650" s="547">
        <f ca="1">IFERROR(__xludf.DUMMYFUNCTION("IMPORTRANGE(""https://docs.google.com/spreadsheets/d/1IYY_tgx_IHuhSq3AJ5eI5OnqOPBNLWSHKh2a30DoXe8/edit?usp=sharing"",""สตูล!J545"")"),0)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IFERROR(__xludf.DUMMYFUNCTION("IMPORTRANGE(""https://docs.google.com/spreadsheets/d/1IYY_tgx_IHuhSq3AJ5eI5OnqOPBNLWSHKh2a30DoXe8/edit?usp=sharing"",""สตูล!L545"")"),0)</f>
        <v>0</v>
      </c>
      <c r="M650" s="534"/>
      <c r="N650" s="549">
        <f ca="1">IFERROR(__xludf.DUMMYFUNCTION("IMPORTRANGE(""https://docs.google.com/spreadsheets/d/1IYY_tgx_IHuhSq3AJ5eI5OnqOPBNLWSHKh2a30DoXe8/edit?usp=sharing"",""สตูล!M545"")"),0)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IFERROR(__xludf.DUMMYFUNCTION("IMPORTRANGE(""https://docs.google.com/spreadsheets/d/1IYY_tgx_IHuhSq3AJ5eI5OnqOPBNLWSHKh2a30DoXe8/edit?usp=sharing"",""สตูล!I546"")"),0)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IFERROR(__xludf.DUMMYFUNCTION("IMPORTRANGE(""https://docs.google.com/spreadsheets/d/1IYY_tgx_IHuhSq3AJ5eI5OnqOPBNLWSHKh2a30DoXe8/edit?usp=sharing"",""สตูล!L546"")"),0)</f>
        <v>0</v>
      </c>
      <c r="M651" s="534"/>
      <c r="N651" s="549">
        <f ca="1">IFERROR(__xludf.DUMMYFUNCTION("IMPORTRANGE(""https://docs.google.com/spreadsheets/d/1IYY_tgx_IHuhSq3AJ5eI5OnqOPBNLWSHKh2a30DoXe8/edit?usp=sharing"",""สตูล!M546"")"),0)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IFERROR(__xludf.DUMMYFUNCTION("IMPORTRANGE(""https://docs.google.com/spreadsheets/d/1IYY_tgx_IHuhSq3AJ5eI5OnqOPBNLWSHKh2a30DoXe8/edit?usp=sharing"",""สตูล!J547"")"),0)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IFERROR(__xludf.DUMMYFUNCTION("IMPORTRANGE(""https://docs.google.com/spreadsheets/d/1IYY_tgx_IHuhSq3AJ5eI5OnqOPBNLWSHKh2a30DoXe8/edit?usp=sharing"",""สตูล!J548"")"),0)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IFERROR(__xludf.DUMMYFUNCTION("IMPORTRANGE(""https://docs.google.com/spreadsheets/d/1IYY_tgx_IHuhSq3AJ5eI5OnqOPBNLWSHKh2a30DoXe8/edit?usp=sharing"",""สตูล!J550"")"),0)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IFERROR(__xludf.DUMMYFUNCTION("IMPORTRANGE(""https://docs.google.com/spreadsheets/d/1IYY_tgx_IHuhSq3AJ5eI5OnqOPBNLWSHKh2a30DoXe8/edit?usp=sharing"",""สตูล!J551"")"),0)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IFERROR(__xludf.DUMMYFUNCTION("IMPORTRANGE(""https://docs.google.com/spreadsheets/d/1IYY_tgx_IHuhSq3AJ5eI5OnqOPBNLWSHKh2a30DoXe8/edit?usp=sharing"",""สตูล!J552"")"),0)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IFERROR(__xludf.DUMMYFUNCTION("IMPORTRANGE(""https://docs.google.com/spreadsheets/d/1IYY_tgx_IHuhSq3AJ5eI5OnqOPBNLWSHKh2a30DoXe8/edit?usp=sharing"",""สตูล!J553"")"),0)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IFERROR(__xludf.DUMMYFUNCTION("IMPORTRANGE(""https://docs.google.com/spreadsheets/d/1IYY_tgx_IHuhSq3AJ5eI5OnqOPBNLWSHKh2a30DoXe8/edit?usp=sharing"",""สตูล!J554"")"),0)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IFERROR(__xludf.DUMMYFUNCTION("IMPORTRANGE(""https://docs.google.com/spreadsheets/d/1IYY_tgx_IHuhSq3AJ5eI5OnqOPBNLWSHKh2a30DoXe8/edit?usp=sharing"",""สตูล!J555"")"),0)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IFERROR(__xludf.DUMMYFUNCTION("IMPORTRANGE(""https://docs.google.com/spreadsheets/d/1IYY_tgx_IHuhSq3AJ5eI5OnqOPBNLWSHKh2a30DoXe8/edit?usp=sharing"",""สตูล!J556"")"),0)</f>
        <v>0</v>
      </c>
      <c r="K661" s="548"/>
      <c r="L661" s="535">
        <f ca="1">IFERROR(__xludf.DUMMYFUNCTION("IMPORTRANGE(""https://docs.google.com/spreadsheets/d/1IYY_tgx_IHuhSq3AJ5eI5OnqOPBNLWSHKh2a30DoXe8/edit?usp=sharing"",""สตูล!L556"")"),0)</f>
        <v>0</v>
      </c>
      <c r="M661" s="534"/>
      <c r="N661" s="549">
        <f ca="1">IFERROR(__xludf.DUMMYFUNCTION("IMPORTRANGE(""https://docs.google.com/spreadsheets/d/1IYY_tgx_IHuhSq3AJ5eI5OnqOPBNLWSHKh2a30DoXe8/edit?usp=sharing"",""สตูล!M556"")"),0)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IFERROR(__xludf.DUMMYFUNCTION("IMPORTRANGE(""https://docs.google.com/spreadsheets/d/1IYY_tgx_IHuhSq3AJ5eI5OnqOPBNLWSHKh2a30DoXe8/edit?usp=sharing"",""สตูล!J557"")"),0)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IFERROR(__xludf.DUMMYFUNCTION("IMPORTRANGE(""https://docs.google.com/spreadsheets/d/1IYY_tgx_IHuhSq3AJ5eI5OnqOPBNLWSHKh2a30DoXe8/edit?usp=sharing"",""สตูล!I558"")"),0)</f>
        <v>0</v>
      </c>
      <c r="J663" s="547">
        <f ca="1">IFERROR(__xludf.DUMMYFUNCTION("IMPORTRANGE(""https://docs.google.com/spreadsheets/d/1IYY_tgx_IHuhSq3AJ5eI5OnqOPBNLWSHKh2a30DoXe8/edit?usp=sharing"",""สตูล!J558"")"),0)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IFERROR(__xludf.DUMMYFUNCTION("IMPORTRANGE(""https://docs.google.com/spreadsheets/d/1IYY_tgx_IHuhSq3AJ5eI5OnqOPBNLWSHKh2a30DoXe8/edit?usp=sharing"",""สตูล!I560"")"),0)</f>
        <v>0</v>
      </c>
      <c r="J665" s="547">
        <f ca="1">IFERROR(__xludf.DUMMYFUNCTION("IMPORTRANGE(""https://docs.google.com/spreadsheets/d/1IYY_tgx_IHuhSq3AJ5eI5OnqOPBNLWSHKh2a30DoXe8/edit?usp=sharing"",""สตูล!J560"")"),0)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IFERROR(__xludf.DUMMYFUNCTION("IMPORTRANGE(""https://docs.google.com/spreadsheets/d/1IYY_tgx_IHuhSq3AJ5eI5OnqOPBNLWSHKh2a30DoXe8/edit?usp=sharing"",""สตูล!L560"")"),0)</f>
        <v>0</v>
      </c>
      <c r="M665" s="534"/>
      <c r="N665" s="549">
        <f ca="1">IFERROR(__xludf.DUMMYFUNCTION("IMPORTRANGE(""https://docs.google.com/spreadsheets/d/1IYY_tgx_IHuhSq3AJ5eI5OnqOPBNLWSHKh2a30DoXe8/edit?usp=sharing"",""สตูล!M560"")"),0)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IFERROR(__xludf.DUMMYFUNCTION("IMPORTRANGE(""https://docs.google.com/spreadsheets/d/1IYY_tgx_IHuhSq3AJ5eI5OnqOPBNLWSHKh2a30DoXe8/edit?usp=sharing"",""สตูล!J561"")"),0)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IFERROR(__xludf.DUMMYFUNCTION("IMPORTRANGE(""https://docs.google.com/spreadsheets/d/1IYY_tgx_IHuhSq3AJ5eI5OnqOPBNLWSHKh2a30DoXe8/edit?usp=sharing"",""สตูล!J562"")"),0)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IFERROR(__xludf.DUMMYFUNCTION("IMPORTRANGE(""https://docs.google.com/spreadsheets/d/1IYY_tgx_IHuhSq3AJ5eI5OnqOPBNLWSHKh2a30DoXe8/edit?usp=sharing"",""สตูล!I563"")"),0)</f>
        <v>0</v>
      </c>
      <c r="J668" s="547">
        <f ca="1">IFERROR(__xludf.DUMMYFUNCTION("IMPORTRANGE(""https://docs.google.com/spreadsheets/d/1IYY_tgx_IHuhSq3AJ5eI5OnqOPBNLWSHKh2a30DoXe8/edit?usp=sharing"",""สตูล!J563"")"),0)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IFERROR(__xludf.DUMMYFUNCTION("IMPORTRANGE(""https://docs.google.com/spreadsheets/d/1IYY_tgx_IHuhSq3AJ5eI5OnqOPBNLWSHKh2a30DoXe8/edit?usp=sharing"",""สตูล!L563"")"),0)</f>
        <v>0</v>
      </c>
      <c r="M668" s="534"/>
      <c r="N668" s="549">
        <f ca="1">IFERROR(__xludf.DUMMYFUNCTION("IMPORTRANGE(""https://docs.google.com/spreadsheets/d/1IYY_tgx_IHuhSq3AJ5eI5OnqOPBNLWSHKh2a30DoXe8/edit?usp=sharing"",""สตูล!M563"")"),0)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IFERROR(__xludf.DUMMYFUNCTION("IMPORTRANGE(""https://docs.google.com/spreadsheets/d/1IYY_tgx_IHuhSq3AJ5eI5OnqOPBNLWSHKh2a30DoXe8/edit?usp=sharing"",""สตูล!J564"")"),0)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IFERROR(__xludf.DUMMYFUNCTION("IMPORTRANGE(""https://docs.google.com/spreadsheets/d/1IYY_tgx_IHuhSq3AJ5eI5OnqOPBNLWSHKh2a30DoXe8/edit?usp=sharing"",""สตูล!J565"")"),0)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IFERROR(__xludf.DUMMYFUNCTION("IMPORTRANGE(""https://docs.google.com/spreadsheets/d/1IYY_tgx_IHuhSq3AJ5eI5OnqOPBNLWSHKh2a30DoXe8/edit?usp=sharing"",""สตูล!I566"")"),0)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IFERROR(__xludf.DUMMYFUNCTION("IMPORTRANGE(""https://docs.google.com/spreadsheets/d/1IYY_tgx_IHuhSq3AJ5eI5OnqOPBNLWSHKh2a30DoXe8/edit?usp=sharing"",""สตูล!L566"")"),0)</f>
        <v>0</v>
      </c>
      <c r="M671" s="534"/>
      <c r="N671" s="549">
        <f ca="1">IFERROR(__xludf.DUMMYFUNCTION("IMPORTRANGE(""https://docs.google.com/spreadsheets/d/1IYY_tgx_IHuhSq3AJ5eI5OnqOPBNLWSHKh2a30DoXe8/edit?usp=sharing"",""สตูล!M566"")"),0)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IFERROR(__xludf.DUMMYFUNCTION("IMPORTRANGE(""https://docs.google.com/spreadsheets/d/1IYY_tgx_IHuhSq3AJ5eI5OnqOPBNLWSHKh2a30DoXe8/edit?usp=sharing"",""สตูล!J567"")"),0)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IFERROR(__xludf.DUMMYFUNCTION("IMPORTRANGE(""https://docs.google.com/spreadsheets/d/1IYY_tgx_IHuhSq3AJ5eI5OnqOPBNLWSHKh2a30DoXe8/edit?usp=sharing"",""สตูล!J568"")"),0)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IFERROR(__xludf.DUMMYFUNCTION("IMPORTRANGE(""https://docs.google.com/spreadsheets/d/1IYY_tgx_IHuhSq3AJ5eI5OnqOPBNLWSHKh2a30DoXe8/edit?usp=sharing"",""สตูล!J569"")"),0)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IFERROR(__xludf.DUMMYFUNCTION("IMPORTRANGE(""https://docs.google.com/spreadsheets/d/1IYY_tgx_IHuhSq3AJ5eI5OnqOPBNLWSHKh2a30DoXe8/edit?usp=sharing"",""สตูล!J570"")"),0)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IFERROR(__xludf.DUMMYFUNCTION("IMPORTRANGE(""https://docs.google.com/spreadsheets/d/1IYY_tgx_IHuhSq3AJ5eI5OnqOPBNLWSHKh2a30DoXe8/edit?usp=sharing"",""สตูล!J571"")"),0)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IFERROR(__xludf.DUMMYFUNCTION("IMPORTRANGE(""https://docs.google.com/spreadsheets/d/1IYY_tgx_IHuhSq3AJ5eI5OnqOPBNLWSHKh2a30DoXe8/edit?usp=sharing"",""สตูล!J572"")"),0)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288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7002508</v>
      </c>
      <c r="M8" s="23">
        <f t="shared" ca="1" si="0"/>
        <v>4328786</v>
      </c>
      <c r="N8" s="23">
        <f t="shared" ca="1" si="0"/>
        <v>4211352.54</v>
      </c>
      <c r="O8" s="22">
        <f t="shared" ref="O8:O16" ca="1" si="1">IF(L8&gt;0,N8*100/L8,0)</f>
        <v>60.140631613701835</v>
      </c>
      <c r="P8" s="22">
        <f t="shared" ref="P8:P16" ca="1" si="2">IF(M8&gt;0,N8*100/M8,0)</f>
        <v>97.287150254135923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7002508</v>
      </c>
      <c r="M10" s="30">
        <f t="shared" ca="1" si="4"/>
        <v>4328786</v>
      </c>
      <c r="N10" s="30">
        <f t="shared" ca="1" si="4"/>
        <v>4211352.54</v>
      </c>
      <c r="O10" s="29">
        <f t="shared" ca="1" si="1"/>
        <v>60.140631613701835</v>
      </c>
      <c r="P10" s="29">
        <f t="shared" ca="1" si="2"/>
        <v>97.287150254135923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6853708</v>
      </c>
      <c r="M12" s="38">
        <f t="shared" ca="1" si="6"/>
        <v>4179986</v>
      </c>
      <c r="N12" s="38">
        <f t="shared" ca="1" si="6"/>
        <v>4062552.54</v>
      </c>
      <c r="O12" s="38">
        <f t="shared" ca="1" si="1"/>
        <v>59.275249835563464</v>
      </c>
      <c r="P12" s="38">
        <f t="shared" ca="1" si="2"/>
        <v>97.190577671791246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2388200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4465508</v>
      </c>
      <c r="M14" s="38">
        <f t="shared" si="8"/>
        <v>0</v>
      </c>
      <c r="N14" s="38">
        <f t="shared" ca="1" si="8"/>
        <v>1058038.0900000001</v>
      </c>
      <c r="O14" s="41">
        <f t="shared" ca="1" si="1"/>
        <v>23.693566107148396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148800</v>
      </c>
      <c r="M16" s="38">
        <f t="shared" ca="1" si="10"/>
        <v>148800</v>
      </c>
      <c r="N16" s="38">
        <f t="shared" ca="1" si="10"/>
        <v>148800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4243170</v>
      </c>
      <c r="M18" s="23">
        <f t="shared" ca="1" si="11"/>
        <v>4328786</v>
      </c>
      <c r="N18" s="23">
        <f t="shared" ca="1" si="11"/>
        <v>3153314.45</v>
      </c>
      <c r="O18" s="22">
        <f t="shared" ref="O18:O20" ca="1" si="12">IF(L18&gt;0,N18*100/L18,0)</f>
        <v>74.315062795032958</v>
      </c>
      <c r="P18" s="22">
        <f t="shared" ref="P18:P26" ca="1" si="13">IF(M18&gt;0,N18*100/M18,0)</f>
        <v>72.845237671716731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4243170</v>
      </c>
      <c r="M20" s="30">
        <f t="shared" ca="1" si="15"/>
        <v>4328786</v>
      </c>
      <c r="N20" s="30">
        <f t="shared" ca="1" si="15"/>
        <v>3153314.45</v>
      </c>
      <c r="O20" s="29">
        <f t="shared" ca="1" si="12"/>
        <v>74.315062795032958</v>
      </c>
      <c r="P20" s="29">
        <f t="shared" ca="1" si="13"/>
        <v>72.845237671716731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4094370</v>
      </c>
      <c r="M22" s="42">
        <f t="shared" ca="1" si="18"/>
        <v>4179986</v>
      </c>
      <c r="N22" s="41">
        <f t="shared" ca="1" si="18"/>
        <v>3004514.45</v>
      </c>
      <c r="O22" s="41">
        <f t="shared" ca="1" si="17"/>
        <v>73.381605717118873</v>
      </c>
      <c r="P22" s="41">
        <f t="shared" ca="1" si="13"/>
        <v>71.878576866046913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2388200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1706170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148800</v>
      </c>
      <c r="M26" s="50">
        <f t="shared" ca="1" si="22"/>
        <v>148800</v>
      </c>
      <c r="N26" s="50">
        <f t="shared" ca="1" si="22"/>
        <v>148800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2759338</v>
      </c>
      <c r="M28" s="23">
        <f t="shared" si="23"/>
        <v>0</v>
      </c>
      <c r="N28" s="23">
        <f t="shared" ca="1" si="23"/>
        <v>1058038.0900000001</v>
      </c>
      <c r="O28" s="22">
        <f t="shared" ref="O28:O30" ca="1" si="24">IF(L28&gt;0,N28*100/L28,0)</f>
        <v>38.343910387201575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2759338</v>
      </c>
      <c r="M30" s="30">
        <f t="shared" si="27"/>
        <v>0</v>
      </c>
      <c r="N30" s="30">
        <f t="shared" ca="1" si="27"/>
        <v>1058038.0900000001</v>
      </c>
      <c r="O30" s="29">
        <f t="shared" ca="1" si="24"/>
        <v>38.343910387201575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2759338</v>
      </c>
      <c r="M32" s="41">
        <f t="shared" si="30"/>
        <v>0</v>
      </c>
      <c r="N32" s="41">
        <f t="shared" ca="1" si="30"/>
        <v>1058038.0900000001</v>
      </c>
      <c r="O32" s="41">
        <f t="shared" ca="1" si="29"/>
        <v>38.343910387201575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2759338</v>
      </c>
      <c r="M34" s="41">
        <f t="shared" si="32"/>
        <v>0</v>
      </c>
      <c r="N34" s="41">
        <f t="shared" ca="1" si="32"/>
        <v>1058038.0900000001</v>
      </c>
      <c r="O34" s="41">
        <f t="shared" ca="1" si="29"/>
        <v>38.343910387201575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4243170</v>
      </c>
      <c r="M37" s="55">
        <f t="shared" ca="1" si="33"/>
        <v>4328786</v>
      </c>
      <c r="N37" s="55">
        <f t="shared" ca="1" si="33"/>
        <v>3153314.45</v>
      </c>
      <c r="O37" s="56">
        <f t="shared" ca="1" si="29"/>
        <v>74.315062795032958</v>
      </c>
      <c r="P37" s="56">
        <f t="shared" ca="1" si="25"/>
        <v>72.845237671716731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530800</v>
      </c>
      <c r="N41" s="79">
        <f t="shared" ca="1" si="34"/>
        <v>405481.8</v>
      </c>
      <c r="O41" s="78">
        <f t="shared" ref="O41:O43" ca="1" si="35">IF(L41&gt;0,N41*100/L41,0)</f>
        <v>76.390693293142434</v>
      </c>
      <c r="P41" s="78">
        <f t="shared" ref="P41:P43" ca="1" si="36">IF(M41&gt;0,N41*100/M41,0)</f>
        <v>76.390693293142434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530800</v>
      </c>
      <c r="N43" s="79">
        <f t="shared" ca="1" si="38"/>
        <v>405481.8</v>
      </c>
      <c r="O43" s="78">
        <f t="shared" ca="1" si="35"/>
        <v>76.390693293142434</v>
      </c>
      <c r="P43" s="78">
        <f t="shared" ca="1" si="36"/>
        <v>76.390693293142434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IFERROR(__xludf.DUMMYFUNCTION("IMPORTRANGE(""https://docs.google.com/spreadsheets/d/1Yj_ptqi66GCucihVvJfMjLAmec39IyEx_6qawtMGysU/edit?usp=sharing"",""สบก!Q94"")"),530800)</f>
        <v>530800</v>
      </c>
      <c r="N45" s="91">
        <f ca="1">IFERROR(__xludf.DUMMYFUNCTION("IMPORTRANGE(""https://docs.google.com/spreadsheets/d/1Yj_ptqi66GCucihVvJfMjLAmec39IyEx_6qawtMGysU/edit?usp=sharing"",""สบก!R94"")"),405481.8)</f>
        <v>405481.8</v>
      </c>
      <c r="O45" s="92">
        <f ca="1">IF(L45&gt;0,N45*100/L45,0)</f>
        <v>76.390693293142434</v>
      </c>
      <c r="P45" s="92">
        <f ca="1">IF(M45&gt;0,N45*100/M45,0)</f>
        <v>76.390693293142434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670000</v>
      </c>
      <c r="M53" s="125">
        <f t="shared" ca="1" si="39"/>
        <v>696616</v>
      </c>
      <c r="N53" s="125">
        <f t="shared" ca="1" si="39"/>
        <v>598104</v>
      </c>
      <c r="O53" s="124">
        <f t="shared" ref="O53:O55" ca="1" si="40">IF(L53&gt;0,N53*100/L53,0)</f>
        <v>89.269253731343284</v>
      </c>
      <c r="P53" s="124">
        <f t="shared" ref="P53:P55" ca="1" si="41">IF(M53&gt;0,N53*100/M53,0)</f>
        <v>85.85849305786833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670000</v>
      </c>
      <c r="M55" s="125">
        <f t="shared" ca="1" si="43"/>
        <v>696616</v>
      </c>
      <c r="N55" s="125">
        <f t="shared" ca="1" si="43"/>
        <v>598104</v>
      </c>
      <c r="O55" s="124">
        <f t="shared" ca="1" si="40"/>
        <v>89.269253731343284</v>
      </c>
      <c r="P55" s="124">
        <f t="shared" ca="1" si="41"/>
        <v>85.85849305786833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670000</v>
      </c>
      <c r="M57" s="91">
        <f ca="1">IFERROR(__xludf.DUMMYFUNCTION("IMPORTRANGE(""https://docs.google.com/spreadsheets/d/1Yj_ptqi66GCucihVvJfMjLAmec39IyEx_6qawtMGysU/edit?usp=sharing"",""สบก!Z94"")"),696616)</f>
        <v>696616</v>
      </c>
      <c r="N57" s="91">
        <f ca="1">IFERROR(__xludf.DUMMYFUNCTION("IMPORTRANGE(""https://docs.google.com/spreadsheets/d/1Yj_ptqi66GCucihVvJfMjLAmec39IyEx_6qawtMGysU/edit?usp=sharing"",""สบก!AA94"")"),598104)</f>
        <v>598104</v>
      </c>
      <c r="O57" s="92">
        <f ca="1">IF(L57&gt;0,N57*100/L57,0)</f>
        <v>89.269253731343284</v>
      </c>
      <c r="P57" s="92">
        <f ca="1">IF(M57&gt;0,N57*100/M57,0)</f>
        <v>85.85849305786833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IFERROR(__xludf.DUMMYFUNCTION("IMPORTRANGE(""https://docs.google.com/spreadsheets/d/1Yj_ptqi66GCucihVvJfMjLAmec39IyEx_6qawtMGysU/edit?usp=sharing"",""สบก!V94"")"),670000)</f>
        <v>670000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IFERROR(__xludf.DUMMYFUNCTION("IMPORTRANGE(""https://docs.google.com/spreadsheets/d/1Yj_ptqi66GCucihVvJfMjLAmec39IyEx_6qawtMGysU/edit?usp=sharing"",""สบก!AI94"")"),0)</f>
        <v>0</v>
      </c>
      <c r="N70" s="174">
        <f ca="1">IFERROR(__xludf.DUMMYFUNCTION("IMPORTRANGE(""https://docs.google.com/spreadsheets/d/1Yj_ptqi66GCucihVvJfMjLAmec39IyEx_6qawtMGysU/edit?usp=sharing"",""สบก!AJ94"")"),0)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IFERROR(__xludf.DUMMYFUNCTION("IMPORTRANGE(""https://docs.google.com/spreadsheets/d/1IYY_tgx_IHuhSq3AJ5eI5OnqOPBNLWSHKh2a30DoXe8/edit?usp=sharing"",""สุราษฎร์ธานี!J16"")"),0)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IFERROR(__xludf.DUMMYFUNCTION("IMPORTRANGE(""https://docs.google.com/spreadsheets/d/1IYY_tgx_IHuhSq3AJ5eI5OnqOPBNLWSHKh2a30DoXe8/edit?usp=sharing"",""สุราษฎร์ธานี!J17"")"),0)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IFERROR(__xludf.DUMMYFUNCTION("IMPORTRANGE(""https://docs.google.com/spreadsheets/d/1IYY_tgx_IHuhSq3AJ5eI5OnqOPBNLWSHKh2a30DoXe8/edit?usp=sharing"",""สุราษฎร์ธานี!J18"")"),0)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IFERROR(__xludf.DUMMYFUNCTION("IMPORTRANGE(""https://docs.google.com/spreadsheets/d/1IYY_tgx_IHuhSq3AJ5eI5OnqOPBNLWSHKh2a30DoXe8/edit?usp=sharing"",""สุราษฎร์ธานี!J19"")"),0)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IFERROR(__xludf.DUMMYFUNCTION("IMPORTRANGE(""https://docs.google.com/spreadsheets/d/1IYY_tgx_IHuhSq3AJ5eI5OnqOPBNLWSHKh2a30DoXe8/edit?usp=sharing"",""สุราษฎร์ธานี!I20"")"),0)</f>
        <v>0</v>
      </c>
      <c r="J80" s="207">
        <f ca="1">IFERROR(__xludf.DUMMYFUNCTION("IMPORTRANGE(""https://docs.google.com/spreadsheets/d/1IYY_tgx_IHuhSq3AJ5eI5OnqOPBNLWSHKh2a30DoXe8/edit?usp=sharing"",""สุราษฎร์ธานี!J20"")"),0)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IFERROR(__xludf.DUMMYFUNCTION("IMPORTRANGE(""https://docs.google.com/spreadsheets/d/1IYY_tgx_IHuhSq3AJ5eI5OnqOPBNLWSHKh2a30DoXe8/edit?usp=sharing"",""สุราษฎร์ธานี!I21"")"),0)</f>
        <v>0</v>
      </c>
      <c r="J81" s="207">
        <f ca="1">IFERROR(__xludf.DUMMYFUNCTION("IMPORTRANGE(""https://docs.google.com/spreadsheets/d/1IYY_tgx_IHuhSq3AJ5eI5OnqOPBNLWSHKh2a30DoXe8/edit?usp=sharing"",""สุราษฎร์ธานี!J21"")"),0)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IFERROR(__xludf.DUMMYFUNCTION("IMPORTRANGE(""https://docs.google.com/spreadsheets/d/1IYY_tgx_IHuhSq3AJ5eI5OnqOPBNLWSHKh2a30DoXe8/edit?usp=sharing"",""สุราษฎร์ธานี!I22"")"),0)</f>
        <v>0</v>
      </c>
      <c r="J82" s="210">
        <f ca="1">IFERROR(__xludf.DUMMYFUNCTION("IMPORTRANGE(""https://docs.google.com/spreadsheets/d/1IYY_tgx_IHuhSq3AJ5eI5OnqOPBNLWSHKh2a30DoXe8/edit?usp=sharing"",""สุราษฎร์ธานี!J22"")"),0)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IFERROR(__xludf.DUMMYFUNCTION("IMPORTRANGE(""https://docs.google.com/spreadsheets/d/1IYY_tgx_IHuhSq3AJ5eI5OnqOPBNLWSHKh2a30DoXe8/edit?usp=sharing"",""สุราษฎร์ธานี!I23"")"),0)</f>
        <v>0</v>
      </c>
      <c r="J83" s="210">
        <f ca="1">IFERROR(__xludf.DUMMYFUNCTION("IMPORTRANGE(""https://docs.google.com/spreadsheets/d/1IYY_tgx_IHuhSq3AJ5eI5OnqOPBNLWSHKh2a30DoXe8/edit?usp=sharing"",""สุราษฎร์ธานี!J23"")"),0)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IFERROR(__xludf.DUMMYFUNCTION("IMPORTRANGE(""https://docs.google.com/spreadsheets/d/1IYY_tgx_IHuhSq3AJ5eI5OnqOPBNLWSHKh2a30DoXe8/edit?usp=sharing"",""สุราษฎร์ธานี!I24"")"),0)</f>
        <v>0</v>
      </c>
      <c r="J84" s="195">
        <f ca="1">IFERROR(__xludf.DUMMYFUNCTION("IMPORTRANGE(""https://docs.google.com/spreadsheets/d/1IYY_tgx_IHuhSq3AJ5eI5OnqOPBNLWSHKh2a30DoXe8/edit?usp=sharing"",""สุราษฎร์ธานี!J24"")"),0)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IFERROR(__xludf.DUMMYFUNCTION("IMPORTRANGE(""https://docs.google.com/spreadsheets/d/1IYY_tgx_IHuhSq3AJ5eI5OnqOPBNLWSHKh2a30DoXe8/edit?usp=sharing"",""สุราษฎร์ธานี!I25"")"),0)</f>
        <v>0</v>
      </c>
      <c r="J85" s="195">
        <f ca="1">IFERROR(__xludf.DUMMYFUNCTION("IMPORTRANGE(""https://docs.google.com/spreadsheets/d/1IYY_tgx_IHuhSq3AJ5eI5OnqOPBNLWSHKh2a30DoXe8/edit?usp=sharing"",""สุราษฎร์ธานี!J25"")"),0)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IFERROR(__xludf.DUMMYFUNCTION("IMPORTRANGE(""https://docs.google.com/spreadsheets/d/1IYY_tgx_IHuhSq3AJ5eI5OnqOPBNLWSHKh2a30DoXe8/edit?usp=sharing"",""สุราษฎร์ธานี!I26"")"),0)</f>
        <v>0</v>
      </c>
      <c r="J86" s="210">
        <f ca="1">IFERROR(__xludf.DUMMYFUNCTION("IMPORTRANGE(""https://docs.google.com/spreadsheets/d/1IYY_tgx_IHuhSq3AJ5eI5OnqOPBNLWSHKh2a30DoXe8/edit?usp=sharing"",""สุราษฎร์ธานี!J26"")"),0)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IFERROR(__xludf.DUMMYFUNCTION("IMPORTRANGE(""https://docs.google.com/spreadsheets/d/1IYY_tgx_IHuhSq3AJ5eI5OnqOPBNLWSHKh2a30DoXe8/edit?usp=sharing"",""สุราษฎร์ธานี!I27"")"),0)</f>
        <v>0</v>
      </c>
      <c r="J87" s="210">
        <f ca="1">IFERROR(__xludf.DUMMYFUNCTION("IMPORTRANGE(""https://docs.google.com/spreadsheets/d/1IYY_tgx_IHuhSq3AJ5eI5OnqOPBNLWSHKh2a30DoXe8/edit?usp=sharing"",""สุราษฎร์ธานี!J27"")"),0)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IFERROR(__xludf.DUMMYFUNCTION("IMPORTRANGE(""https://docs.google.com/spreadsheets/d/1IYY_tgx_IHuhSq3AJ5eI5OnqOPBNLWSHKh2a30DoXe8/edit?usp=sharing"",""สุราษฎร์ธานี!I28"")"),0)</f>
        <v>0</v>
      </c>
      <c r="J88" s="210">
        <f ca="1">IFERROR(__xludf.DUMMYFUNCTION("IMPORTRANGE(""https://docs.google.com/spreadsheets/d/1IYY_tgx_IHuhSq3AJ5eI5OnqOPBNLWSHKh2a30DoXe8/edit?usp=sharing"",""สุราษฎร์ธานี!J28"")"),0)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IFERROR(__xludf.DUMMYFUNCTION("IMPORTRANGE(""https://docs.google.com/spreadsheets/d/1IYY_tgx_IHuhSq3AJ5eI5OnqOPBNLWSHKh2a30DoXe8/edit?usp=sharing"",""สุราษฎร์ธานี!J29"")"),0)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IFERROR(__xludf.DUMMYFUNCTION("IMPORTRANGE(""https://docs.google.com/spreadsheets/d/1IYY_tgx_IHuhSq3AJ5eI5OnqOPBNLWSHKh2a30DoXe8/edit?usp=sharing"",""สุราษฎร์ธานี!J30"")"),0)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IFERROR(__xludf.DUMMYFUNCTION("IMPORTRANGE(""https://docs.google.com/spreadsheets/d/1Yj_ptqi66GCucihVvJfMjLAmec39IyEx_6qawtMGysU/edit?usp=sharing"",""สบก!AR94"")"),0)</f>
        <v>0</v>
      </c>
      <c r="N98" s="174">
        <f ca="1">IFERROR(__xludf.DUMMYFUNCTION("IMPORTRANGE(""https://docs.google.com/spreadsheets/d/1Yj_ptqi66GCucihVvJfMjLAmec39IyEx_6qawtMGysU/edit?usp=sharing"",""สบก!AS94"")"),0)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IFERROR(__xludf.DUMMYFUNCTION("IMPORTRANGE(""https://docs.google.com/spreadsheets/d/1Yj_ptqi66GCucihVvJfMjLAmec39IyEx_6qawtMGysU/edit?usp=sharing"",""สบก!AO94"")"),0)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IFERROR(__xludf.DUMMYFUNCTION("IMPORTRANGE(""https://docs.google.com/spreadsheets/d/1IYY_tgx_IHuhSq3AJ5eI5OnqOPBNLWSHKh2a30DoXe8/edit?usp=sharing"",""สุราษฎร์ธานี!J39"")"),0)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IFERROR(__xludf.DUMMYFUNCTION("IMPORTRANGE(""https://docs.google.com/spreadsheets/d/1IYY_tgx_IHuhSq3AJ5eI5OnqOPBNLWSHKh2a30DoXe8/edit?usp=sharing"",""สุราษฎร์ธานี!J40"")"),0)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IFERROR(__xludf.DUMMYFUNCTION("IMPORTRANGE(""https://docs.google.com/spreadsheets/d/1IYY_tgx_IHuhSq3AJ5eI5OnqOPBNLWSHKh2a30DoXe8/edit?usp=sharing"",""สุราษฎร์ธานี!J41"")"),0)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IFERROR(__xludf.DUMMYFUNCTION("IMPORTRANGE(""https://docs.google.com/spreadsheets/d/1IYY_tgx_IHuhSq3AJ5eI5OnqOPBNLWSHKh2a30DoXe8/edit?usp=sharing"",""สุราษฎร์ธานี!J42"")"),0)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IFERROR(__xludf.DUMMYFUNCTION("IMPORTRANGE(""https://docs.google.com/spreadsheets/d/1IYY_tgx_IHuhSq3AJ5eI5OnqOPBNLWSHKh2a30DoXe8/edit?usp=sharing"",""สุราษฎร์ธานี!I43"")"),0)</f>
        <v>0</v>
      </c>
      <c r="J108" s="210">
        <f ca="1">IFERROR(__xludf.DUMMYFUNCTION("IMPORTRANGE(""https://docs.google.com/spreadsheets/d/1IYY_tgx_IHuhSq3AJ5eI5OnqOPBNLWSHKh2a30DoXe8/edit?usp=sharing"",""สุราษฎร์ธานี!J43"")"),0)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IFERROR(__xludf.DUMMYFUNCTION("IMPORTRANGE(""https://docs.google.com/spreadsheets/d/1IYY_tgx_IHuhSq3AJ5eI5OnqOPBNLWSHKh2a30DoXe8/edit?usp=sharing"",""สุราษฎร์ธานี!I44"")"),0)</f>
        <v>0</v>
      </c>
      <c r="J109" s="210">
        <f ca="1">IFERROR(__xludf.DUMMYFUNCTION("IMPORTRANGE(""https://docs.google.com/spreadsheets/d/1IYY_tgx_IHuhSq3AJ5eI5OnqOPBNLWSHKh2a30DoXe8/edit?usp=sharing"",""สุราษฎร์ธานี!J44"")"),0)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IFERROR(__xludf.DUMMYFUNCTION("IMPORTRANGE(""https://docs.google.com/spreadsheets/d/1IYY_tgx_IHuhSq3AJ5eI5OnqOPBNLWSHKh2a30DoXe8/edit?usp=sharing"",""สุราษฎร์ธานี!I45"")"),0)</f>
        <v>0</v>
      </c>
      <c r="J110" s="210">
        <f ca="1">IFERROR(__xludf.DUMMYFUNCTION("IMPORTRANGE(""https://docs.google.com/spreadsheets/d/1IYY_tgx_IHuhSq3AJ5eI5OnqOPBNLWSHKh2a30DoXe8/edit?usp=sharing"",""สุราษฎร์ธานี!J45"")"),0)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IFERROR(__xludf.DUMMYFUNCTION("IMPORTRANGE(""https://docs.google.com/spreadsheets/d/1IYY_tgx_IHuhSq3AJ5eI5OnqOPBNLWSHKh2a30DoXe8/edit?usp=sharing"",""สุราษฎร์ธานี!I46"")"),0)</f>
        <v>0</v>
      </c>
      <c r="J111" s="210">
        <f ca="1">IFERROR(__xludf.DUMMYFUNCTION("IMPORTRANGE(""https://docs.google.com/spreadsheets/d/1IYY_tgx_IHuhSq3AJ5eI5OnqOPBNLWSHKh2a30DoXe8/edit?usp=sharing"",""สุราษฎร์ธานี!J46"")"),0)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IFERROR(__xludf.DUMMYFUNCTION("IMPORTRANGE(""https://docs.google.com/spreadsheets/d/1IYY_tgx_IHuhSq3AJ5eI5OnqOPBNLWSHKh2a30DoXe8/edit?usp=sharing"",""สุราษฎร์ธานี!I47"")"),0)</f>
        <v>0</v>
      </c>
      <c r="J112" s="210">
        <f ca="1">IFERROR(__xludf.DUMMYFUNCTION("IMPORTRANGE(""https://docs.google.com/spreadsheets/d/1IYY_tgx_IHuhSq3AJ5eI5OnqOPBNLWSHKh2a30DoXe8/edit?usp=sharing"",""สุราษฎร์ธานี!J47"")"),0)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IFERROR(__xludf.DUMMYFUNCTION("IMPORTRANGE(""https://docs.google.com/spreadsheets/d/1IYY_tgx_IHuhSq3AJ5eI5OnqOPBNLWSHKh2a30DoXe8/edit?usp=sharing"",""สุราษฎร์ธานี!I48"")"),0)</f>
        <v>0</v>
      </c>
      <c r="J113" s="210">
        <f ca="1">IFERROR(__xludf.DUMMYFUNCTION("IMPORTRANGE(""https://docs.google.com/spreadsheets/d/1IYY_tgx_IHuhSq3AJ5eI5OnqOPBNLWSHKh2a30DoXe8/edit?usp=sharing"",""สุราษฎร์ธานี!J48"")"),0)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IFERROR(__xludf.DUMMYFUNCTION("IMPORTRANGE(""https://docs.google.com/spreadsheets/d/1IYY_tgx_IHuhSq3AJ5eI5OnqOPBNLWSHKh2a30DoXe8/edit?usp=sharing"",""สุราษฎร์ธานี!J49"")"),0)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IFERROR(__xludf.DUMMYFUNCTION("IMPORTRANGE(""https://docs.google.com/spreadsheets/d/1IYY_tgx_IHuhSq3AJ5eI5OnqOPBNLWSHKh2a30DoXe8/edit?usp=sharing"",""สุราษฎร์ธานี!J50"")"),0)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64890</v>
      </c>
      <c r="O118" s="155">
        <f t="shared" ref="O118:O120" ca="1" si="59">IF(L118&gt;0,N118*100/L118,0)</f>
        <v>100</v>
      </c>
      <c r="P118" s="155">
        <f t="shared" ref="P118:P120" ca="1" si="60">IF(M118&gt;0,N118*100/M118,0)</f>
        <v>100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64890</v>
      </c>
      <c r="O120" s="160">
        <f t="shared" ca="1" si="59"/>
        <v>100</v>
      </c>
      <c r="P120" s="160">
        <f t="shared" ca="1" si="60"/>
        <v>100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IFERROR(__xludf.DUMMYFUNCTION("IMPORTRANGE(""https://docs.google.com/spreadsheets/d/1Yj_ptqi66GCucihVvJfMjLAmec39IyEx_6qawtMGysU/edit?usp=sharing"",""สบก!BA94"")"),64890)</f>
        <v>64890</v>
      </c>
      <c r="N122" s="174">
        <f ca="1">IFERROR(__xludf.DUMMYFUNCTION("IMPORTRANGE(""https://docs.google.com/spreadsheets/d/1Yj_ptqi66GCucihVvJfMjLAmec39IyEx_6qawtMGysU/edit?usp=sharing"",""สบก!BB94"")"),64890)</f>
        <v>64890</v>
      </c>
      <c r="O122" s="175">
        <f ca="1">IF(L122&gt;0,N122*100/L122,0)</f>
        <v>100</v>
      </c>
      <c r="P122" s="175">
        <f ca="1">IF(M122&gt;0,N122*100/M122,0)</f>
        <v>100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IFERROR(__xludf.DUMMYFUNCTION("IMPORTRANGE(""https://docs.google.com/spreadsheets/d/1Yj_ptqi66GCucihVvJfMjLAmec39IyEx_6qawtMGysU/edit?usp=sharing"",""สบก!AX94"")"),64890)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289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IFERROR(__xludf.DUMMYFUNCTION("IMPORTRANGE(""https://docs.google.com/spreadsheets/d/1IYY_tgx_IHuhSq3AJ5eI5OnqOPBNLWSHKh2a30DoXe8/edit?usp=sharing"",""สุราษฎร์ธานี!J58"")"),0)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IFERROR(__xludf.DUMMYFUNCTION("IMPORTRANGE(""https://docs.google.com/spreadsheets/d/1IYY_tgx_IHuhSq3AJ5eI5OnqOPBNLWSHKh2a30DoXe8/edit?usp=sharing"",""สุราษฎร์ธานี!J59"")"),1)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IFERROR(__xludf.DUMMYFUNCTION("IMPORTRANGE(""https://docs.google.com/spreadsheets/d/1IYY_tgx_IHuhSq3AJ5eI5OnqOPBNLWSHKh2a30DoXe8/edit?usp=sharing"",""สุราษฎร์ธานี!J60"")"),1)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IFERROR(__xludf.DUMMYFUNCTION("IMPORTRANGE(""https://docs.google.com/spreadsheets/d/1IYY_tgx_IHuhSq3AJ5eI5OnqOPBNLWSHKh2a30DoXe8/edit?usp=sharing"",""สุราษฎร์ธานี!J61"")"),1)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IFERROR(__xludf.DUMMYFUNCTION("IMPORTRANGE(""https://docs.google.com/spreadsheets/d/1IYY_tgx_IHuhSq3AJ5eI5OnqOPBNLWSHKh2a30DoXe8/edit?usp=sharing"",""สุราษฎร์ธานี!I62"")"),15)</f>
        <v>15</v>
      </c>
      <c r="J132" s="210">
        <f ca="1">IFERROR(__xludf.DUMMYFUNCTION("IMPORTRANGE(""https://docs.google.com/spreadsheets/d/1IYY_tgx_IHuhSq3AJ5eI5OnqOPBNLWSHKh2a30DoXe8/edit?usp=sharing"",""สุราษฎร์ธานี!J62"")"),15)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IFERROR(__xludf.DUMMYFUNCTION("IMPORTRANGE(""https://docs.google.com/spreadsheets/d/1IYY_tgx_IHuhSq3AJ5eI5OnqOPBNLWSHKh2a30DoXe8/edit?usp=sharing"",""สุราษฎร์ธานี!I63"")"),15)</f>
        <v>15</v>
      </c>
      <c r="J133" s="210">
        <f ca="1">IFERROR(__xludf.DUMMYFUNCTION("IMPORTRANGE(""https://docs.google.com/spreadsheets/d/1IYY_tgx_IHuhSq3AJ5eI5OnqOPBNLWSHKh2a30DoXe8/edit?usp=sharing"",""สุราษฎร์ธานี!J63"")"),15)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IFERROR(__xludf.DUMMYFUNCTION("IMPORTRANGE(""https://docs.google.com/spreadsheets/d/1IYY_tgx_IHuhSq3AJ5eI5OnqOPBNLWSHKh2a30DoXe8/edit?usp=sharing"",""สุราษฎร์ธานี!J64"")"),0)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IFERROR(__xludf.DUMMYFUNCTION("IMPORTRANGE(""https://docs.google.com/spreadsheets/d/1IYY_tgx_IHuhSq3AJ5eI5OnqOPBNLWSHKh2a30DoXe8/edit?usp=sharing"",""สุราษฎร์ธานี!J65"")"),0)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IFERROR(__xludf.DUMMYFUNCTION("IMPORTRANGE(""https://docs.google.com/spreadsheets/d/1IYY_tgx_IHuhSq3AJ5eI5OnqOPBNLWSHKh2a30DoXe8/edit?usp=sharing"",""สุราษฎร์ธานี!I68"")"),0)</f>
        <v>0</v>
      </c>
      <c r="J138" s="273">
        <f ca="1">IFERROR(__xludf.DUMMYFUNCTION("IMPORTRANGE(""https://docs.google.com/spreadsheets/d/1IYY_tgx_IHuhSq3AJ5eI5OnqOPBNLWSHKh2a30DoXe8/edit?usp=sharing"",""สุราษฎร์ธานี!J68"")"),0)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57000</v>
      </c>
      <c r="M140" s="156">
        <f t="shared" ca="1" si="64"/>
        <v>57000</v>
      </c>
      <c r="N140" s="156">
        <f t="shared" ca="1" si="64"/>
        <v>51060</v>
      </c>
      <c r="O140" s="155">
        <f t="shared" ref="O140:O142" ca="1" si="65">IF(L140&gt;0,N140*100/L140,0)</f>
        <v>89.578947368421055</v>
      </c>
      <c r="P140" s="155">
        <f t="shared" ref="P140:P142" ca="1" si="66">IF(M140&gt;0,N140*100/M140,0)</f>
        <v>89.578947368421055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57000</v>
      </c>
      <c r="M142" s="161">
        <f t="shared" ca="1" si="68"/>
        <v>57000</v>
      </c>
      <c r="N142" s="161">
        <f t="shared" ca="1" si="68"/>
        <v>51060</v>
      </c>
      <c r="O142" s="160">
        <f t="shared" ca="1" si="65"/>
        <v>89.578947368421055</v>
      </c>
      <c r="P142" s="160">
        <f t="shared" ca="1" si="66"/>
        <v>89.578947368421055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57000</v>
      </c>
      <c r="M144" s="173">
        <f ca="1">IFERROR(__xludf.DUMMYFUNCTION("IMPORTRANGE(""https://docs.google.com/spreadsheets/d/1Yj_ptqi66GCucihVvJfMjLAmec39IyEx_6qawtMGysU/edit?usp=sharing"",""สบก!BJ94"")"),57000)</f>
        <v>57000</v>
      </c>
      <c r="N144" s="174">
        <f ca="1">IFERROR(__xludf.DUMMYFUNCTION("IMPORTRANGE(""https://docs.google.com/spreadsheets/d/1Yj_ptqi66GCucihVvJfMjLAmec39IyEx_6qawtMGysU/edit?usp=sharing"",""สบก!BK94"")"),51060)</f>
        <v>51060</v>
      </c>
      <c r="O144" s="175">
        <f ca="1">IF(L144&gt;0,N144*100/L144,0)</f>
        <v>89.578947368421055</v>
      </c>
      <c r="P144" s="175">
        <f ca="1">IF(M144&gt;0,N144*100/M144,0)</f>
        <v>89.578947368421055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IFERROR(__xludf.DUMMYFUNCTION("IMPORTRANGE(""https://docs.google.com/spreadsheets/d/1Yj_ptqi66GCucihVvJfMjLAmec39IyEx_6qawtMGysU/edit?usp=sharing"",""สบก!BF94"")"),0)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IFERROR(__xludf.DUMMYFUNCTION("IMPORTRANGE(""https://docs.google.com/spreadsheets/d/1Yj_ptqi66GCucihVvJfMjLAmec39IyEx_6qawtMGysU/edit?usp=sharing"",""สบก!BG94"")"),57000)</f>
        <v>57000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IFERROR(__xludf.DUMMYFUNCTION("IMPORTRANGE(""https://docs.google.com/spreadsheets/d/1IYY_tgx_IHuhSq3AJ5eI5OnqOPBNLWSHKh2a30DoXe8/edit?usp=sharing"",""สุราษฎร์ธานี!I74"")"),4)</f>
        <v>4</v>
      </c>
      <c r="J149" s="281">
        <f ca="1">IFERROR(__xludf.DUMMYFUNCTION("IMPORTRANGE(""https://docs.google.com/spreadsheets/d/1IYY_tgx_IHuhSq3AJ5eI5OnqOPBNLWSHKh2a30DoXe8/edit?usp=sharing"",""สุราษฎร์ธานี!J74"")"),2)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IFERROR(__xludf.DUMMYFUNCTION("IMPORTRANGE(""https://docs.google.com/spreadsheets/d/1IYY_tgx_IHuhSq3AJ5eI5OnqOPBNLWSHKh2a30DoXe8/edit?usp=sharing"",""สุราษฎร์ธานี!J79"")"),0)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IFERROR(__xludf.DUMMYFUNCTION("IMPORTRANGE(""https://docs.google.com/spreadsheets/d/1IYY_tgx_IHuhSq3AJ5eI5OnqOPBNLWSHKh2a30DoXe8/edit?usp=sharing"",""สุราษฎร์ธานี!J80"")"),1)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IFERROR(__xludf.DUMMYFUNCTION("IMPORTRANGE(""https://docs.google.com/spreadsheets/d/1IYY_tgx_IHuhSq3AJ5eI5OnqOPBNLWSHKh2a30DoXe8/edit?usp=sharing"",""สุราษฎร์ธานี!J81"")"),1)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IFERROR(__xludf.DUMMYFUNCTION("IMPORTRANGE(""https://docs.google.com/spreadsheets/d/1IYY_tgx_IHuhSq3AJ5eI5OnqOPBNLWSHKh2a30DoXe8/edit?usp=sharing"",""สุราษฎร์ธานี!J82"")"),1)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IFERROR(__xludf.DUMMYFUNCTION("IMPORTRANGE(""https://docs.google.com/spreadsheets/d/1IYY_tgx_IHuhSq3AJ5eI5OnqOPBNLWSHKh2a30DoXe8/edit?usp=sharing"",""สุราษฎร์ธานี!I83"")"),4)</f>
        <v>4</v>
      </c>
      <c r="J158" s="195">
        <f ca="1">IFERROR(__xludf.DUMMYFUNCTION("IMPORTRANGE(""https://docs.google.com/spreadsheets/d/1IYY_tgx_IHuhSq3AJ5eI5OnqOPBNLWSHKh2a30DoXe8/edit?usp=sharing"",""สุราษฎร์ธานี!J83"")"),2)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IFERROR(__xludf.DUMMYFUNCTION("IMPORTRANGE(""https://docs.google.com/spreadsheets/d/1IYY_tgx_IHuhSq3AJ5eI5OnqOPBNLWSHKh2a30DoXe8/edit?usp=sharing"",""สุราษฎร์ธานี!J84"")"),50)</f>
        <v>50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IFERROR(__xludf.DUMMYFUNCTION("IMPORTRANGE(""https://docs.google.com/spreadsheets/d/1IYY_tgx_IHuhSq3AJ5eI5OnqOPBNLWSHKh2a30DoXe8/edit?usp=sharing"",""สุราษฎร์ธานี!J85"")"),45)</f>
        <v>45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IFERROR(__xludf.DUMMYFUNCTION("IMPORTRANGE(""https://docs.google.com/spreadsheets/d/1IYY_tgx_IHuhSq3AJ5eI5OnqOPBNLWSHKh2a30DoXe8/edit?usp=sharing"",""สุราษฎร์ธานี!J86"")"),5)</f>
        <v>5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IFERROR(__xludf.DUMMYFUNCTION("IMPORTRANGE(""https://docs.google.com/spreadsheets/d/1IYY_tgx_IHuhSq3AJ5eI5OnqOPBNLWSHKh2a30DoXe8/edit?usp=sharing"",""สุราษฎร์ธานี!J87"")"),0)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IFERROR(__xludf.DUMMYFUNCTION("IMPORTRANGE(""https://docs.google.com/spreadsheets/d/1IYY_tgx_IHuhSq3AJ5eI5OnqOPBNLWSHKh2a30DoXe8/edit?usp=sharing"",""สุราษฎร์ธานี!J88"")"),0)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IFERROR(__xludf.DUMMYFUNCTION("IMPORTRANGE(""https://docs.google.com/spreadsheets/d/1IYY_tgx_IHuhSq3AJ5eI5OnqOPBNLWSHKh2a30DoXe8/edit?usp=sharing"",""สุราษฎร์ธานี!J94"")"),0)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IFERROR(__xludf.DUMMYFUNCTION("IMPORTRANGE(""https://docs.google.com/spreadsheets/d/1IYY_tgx_IHuhSq3AJ5eI5OnqOPBNLWSHKh2a30DoXe8/edit?usp=sharing"",""สุราษฎร์ธานี!J95"")"),1)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IFERROR(__xludf.DUMMYFUNCTION("IMPORTRANGE(""https://docs.google.com/spreadsheets/d/1IYY_tgx_IHuhSq3AJ5eI5OnqOPBNLWSHKh2a30DoXe8/edit?usp=sharing"",""สุราษฎร์ธานี!J96"")"),1)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IFERROR(__xludf.DUMMYFUNCTION("IMPORTRANGE(""https://docs.google.com/spreadsheets/d/1IYY_tgx_IHuhSq3AJ5eI5OnqOPBNLWSHKh2a30DoXe8/edit?usp=sharing"",""สุราษฎร์ธานี!J97"")"),1)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IFERROR(__xludf.DUMMYFUNCTION("IMPORTRANGE(""https://docs.google.com/spreadsheets/d/1IYY_tgx_IHuhSq3AJ5eI5OnqOPBNLWSHKh2a30DoXe8/edit?usp=sharing"",""สุราษฎร์ธานี!I98"")"),3)</f>
        <v>3</v>
      </c>
      <c r="J173" s="195">
        <f ca="1">IFERROR(__xludf.DUMMYFUNCTION("IMPORTRANGE(""https://docs.google.com/spreadsheets/d/1IYY_tgx_IHuhSq3AJ5eI5OnqOPBNLWSHKh2a30DoXe8/edit?usp=sharing"",""สุราษฎร์ธานี!J98"")"),3)</f>
        <v>3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IFERROR(__xludf.DUMMYFUNCTION("IMPORTRANGE(""https://docs.google.com/spreadsheets/d/1IYY_tgx_IHuhSq3AJ5eI5OnqOPBNLWSHKh2a30DoXe8/edit?usp=sharing"",""สุราษฎร์ธานี!J99"")"),0)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IFERROR(__xludf.DUMMYFUNCTION("IMPORTRANGE(""https://docs.google.com/spreadsheets/d/1IYY_tgx_IHuhSq3AJ5eI5OnqOPBNLWSHKh2a30DoXe8/edit?usp=sharing"",""สุราษฎร์ธานี!J100"")"),0)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IFERROR(__xludf.DUMMYFUNCTION("IMPORTRANGE(""https://docs.google.com/spreadsheets/d/1IYY_tgx_IHuhSq3AJ5eI5OnqOPBNLWSHKh2a30DoXe8/edit?usp=sharing"",""สุราษฎร์ธานี!J106"")"),0)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IFERROR(__xludf.DUMMYFUNCTION("IMPORTRANGE(""https://docs.google.com/spreadsheets/d/1IYY_tgx_IHuhSq3AJ5eI5OnqOPBNLWSHKh2a30DoXe8/edit?usp=sharing"",""สุราษฎร์ธานี!J107"")"),0)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IFERROR(__xludf.DUMMYFUNCTION("IMPORTRANGE(""https://docs.google.com/spreadsheets/d/1IYY_tgx_IHuhSq3AJ5eI5OnqOPBNLWSHKh2a30DoXe8/edit?usp=sharing"",""สุราษฎร์ธานี!J108"")"),0)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IFERROR(__xludf.DUMMYFUNCTION("IMPORTRANGE(""https://docs.google.com/spreadsheets/d/1IYY_tgx_IHuhSq3AJ5eI5OnqOPBNLWSHKh2a30DoXe8/edit?usp=sharing"",""สุราษฎร์ธานี!J109"")"),0)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IFERROR(__xludf.DUMMYFUNCTION("IMPORTRANGE(""https://docs.google.com/spreadsheets/d/1IYY_tgx_IHuhSq3AJ5eI5OnqOPBNLWSHKh2a30DoXe8/edit?usp=sharing"",""สุราษฎร์ธานี!I110"")"),0)</f>
        <v>0</v>
      </c>
      <c r="J185" s="210">
        <f ca="1">IFERROR(__xludf.DUMMYFUNCTION("IMPORTRANGE(""https://docs.google.com/spreadsheets/d/1IYY_tgx_IHuhSq3AJ5eI5OnqOPBNLWSHKh2a30DoXe8/edit?usp=sharing"",""สุราษฎร์ธานี!J110"")"),0)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IFERROR(__xludf.DUMMYFUNCTION("IMPORTRANGE(""https://docs.google.com/spreadsheets/d/1IYY_tgx_IHuhSq3AJ5eI5OnqOPBNLWSHKh2a30DoXe8/edit?usp=sharing"",""สุราษฎร์ธานี!I111"")"),0)</f>
        <v>0</v>
      </c>
      <c r="J186" s="210">
        <f ca="1">IFERROR(__xludf.DUMMYFUNCTION("IMPORTRANGE(""https://docs.google.com/spreadsheets/d/1IYY_tgx_IHuhSq3AJ5eI5OnqOPBNLWSHKh2a30DoXe8/edit?usp=sharing"",""สุราษฎร์ธานี!J111"")"),0)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IFERROR(__xludf.DUMMYFUNCTION("IMPORTRANGE(""https://docs.google.com/spreadsheets/d/1IYY_tgx_IHuhSq3AJ5eI5OnqOPBNLWSHKh2a30DoXe8/edit?usp=sharing"",""สุราษฎร์ธานี!J112"")"),0)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IFERROR(__xludf.DUMMYFUNCTION("IMPORTRANGE(""https://docs.google.com/spreadsheets/d/1IYY_tgx_IHuhSq3AJ5eI5OnqOPBNLWSHKh2a30DoXe8/edit?usp=sharing"",""สุราษฎร์ธานี!J113"")"),0)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IFERROR(__xludf.DUMMYFUNCTION("IMPORTRANGE(""https://docs.google.com/spreadsheets/d/1IYY_tgx_IHuhSq3AJ5eI5OnqOPBNLWSHKh2a30DoXe8/edit?usp=sharing"",""สุราษฎร์ธานี!J119"")"),0)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IFERROR(__xludf.DUMMYFUNCTION("IMPORTRANGE(""https://docs.google.com/spreadsheets/d/1IYY_tgx_IHuhSq3AJ5eI5OnqOPBNLWSHKh2a30DoXe8/edit?usp=sharing"",""สุราษฎร์ธานี!J120"")"),1)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IFERROR(__xludf.DUMMYFUNCTION("IMPORTRANGE(""https://docs.google.com/spreadsheets/d/1IYY_tgx_IHuhSq3AJ5eI5OnqOPBNLWSHKh2a30DoXe8/edit?usp=sharing"",""สุราษฎร์ธานี!J121"")"),1)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IFERROR(__xludf.DUMMYFUNCTION("IMPORTRANGE(""https://docs.google.com/spreadsheets/d/1IYY_tgx_IHuhSq3AJ5eI5OnqOPBNLWSHKh2a30DoXe8/edit?usp=sharing"",""สุราษฎร์ธานี!J122"")"),1)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5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5">
        <f ca="1">IFERROR(__xludf.DUMMYFUNCTION("IMPORTRANGE(""https://docs.google.com/spreadsheets/d/1IYY_tgx_IHuhSq3AJ5eI5OnqOPBNLWSHKh2a30DoXe8/edit?usp=sharing"",""สุราษฎร์ธานี!J125"")"),10000)</f>
        <v>10000</v>
      </c>
      <c r="K200" s="167">
        <f t="shared" ca="1" si="70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IFERROR(__xludf.DUMMYFUNCTION("IMPORTRANGE(""https://docs.google.com/spreadsheets/d/1IYY_tgx_IHuhSq3AJ5eI5OnqOPBNLWSHKh2a30DoXe8/edit?usp=sharing"",""สุราษฎร์ธานี!I126"")"),0)</f>
        <v>0</v>
      </c>
      <c r="J201" s="195">
        <f ca="1">IFERROR(__xludf.DUMMYFUNCTION("IMPORTRANGE(""https://docs.google.com/spreadsheets/d/1IYY_tgx_IHuhSq3AJ5eI5OnqOPBNLWSHKh2a30DoXe8/edit?usp=sharing"",""สุราษฎร์ธานี!J126"")"),0)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IFERROR(__xludf.DUMMYFUNCTION("IMPORTRANGE(""https://docs.google.com/spreadsheets/d/1IYY_tgx_IHuhSq3AJ5eI5OnqOPBNLWSHKh2a30DoXe8/edit?usp=sharing"",""สุราษฎร์ธานี!J127"")"),0)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IFERROR(__xludf.DUMMYFUNCTION("IMPORTRANGE(""https://docs.google.com/spreadsheets/d/1IYY_tgx_IHuhSq3AJ5eI5OnqOPBNLWSHKh2a30DoXe8/edit?usp=sharing"",""สุราษฎร์ธานี!J128"")"),0)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IFERROR(__xludf.DUMMYFUNCTION("IMPORTRANGE(""https://docs.google.com/spreadsheets/d/1IYY_tgx_IHuhSq3AJ5eI5OnqOPBNLWSHKh2a30DoXe8/edit?usp=sharing"",""สุราษฎร์ธานี!J134"")"),0)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IFERROR(__xludf.DUMMYFUNCTION("IMPORTRANGE(""https://docs.google.com/spreadsheets/d/1IYY_tgx_IHuhSq3AJ5eI5OnqOPBNLWSHKh2a30DoXe8/edit?usp=sharing"",""สุราษฎร์ธานี!J135"")"),0)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IFERROR(__xludf.DUMMYFUNCTION("IMPORTRANGE(""https://docs.google.com/spreadsheets/d/1IYY_tgx_IHuhSq3AJ5eI5OnqOPBNLWSHKh2a30DoXe8/edit?usp=sharing"",""สุราษฎร์ธานี!J136"")"),0)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IFERROR(__xludf.DUMMYFUNCTION("IMPORTRANGE(""https://docs.google.com/spreadsheets/d/1IYY_tgx_IHuhSq3AJ5eI5OnqOPBNLWSHKh2a30DoXe8/edit?usp=sharing"",""สุราษฎร์ธานี!J137"")"),0)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IFERROR(__xludf.DUMMYFUNCTION("IMPORTRANGE(""https://docs.google.com/spreadsheets/d/1IYY_tgx_IHuhSq3AJ5eI5OnqOPBNLWSHKh2a30DoXe8/edit?usp=sharing"",""สุราษฎร์ธานี!I138"")"),0)</f>
        <v>0</v>
      </c>
      <c r="J213" s="210">
        <f ca="1">IFERROR(__xludf.DUMMYFUNCTION("IMPORTRANGE(""https://docs.google.com/spreadsheets/d/1IYY_tgx_IHuhSq3AJ5eI5OnqOPBNLWSHKh2a30DoXe8/edit?usp=sharing"",""สุราษฎร์ธานี!J138"")"),0)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IFERROR(__xludf.DUMMYFUNCTION("IMPORTRANGE(""https://docs.google.com/spreadsheets/d/1IYY_tgx_IHuhSq3AJ5eI5OnqOPBNLWSHKh2a30DoXe8/edit?usp=sharing"",""สุราษฎร์ธานี!I140"")"),0)</f>
        <v>0</v>
      </c>
      <c r="J215" s="210">
        <f ca="1">IFERROR(__xludf.DUMMYFUNCTION("IMPORTRANGE(""https://docs.google.com/spreadsheets/d/1IYY_tgx_IHuhSq3AJ5eI5OnqOPBNLWSHKh2a30DoXe8/edit?usp=sharing"",""สุราษฎร์ธานี!J140"")"),0)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IFERROR(__xludf.DUMMYFUNCTION("IMPORTRANGE(""https://docs.google.com/spreadsheets/d/1IYY_tgx_IHuhSq3AJ5eI5OnqOPBNLWSHKh2a30DoXe8/edit?usp=sharing"",""สุราษฎร์ธานี!I141"")"),0)</f>
        <v>0</v>
      </c>
      <c r="J216" s="210">
        <f ca="1">IFERROR(__xludf.DUMMYFUNCTION("IMPORTRANGE(""https://docs.google.com/spreadsheets/d/1IYY_tgx_IHuhSq3AJ5eI5OnqOPBNLWSHKh2a30DoXe8/edit?usp=sharing"",""สุราษฎร์ธานี!J141"")"),0)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IFERROR(__xludf.DUMMYFUNCTION("IMPORTRANGE(""https://docs.google.com/spreadsheets/d/1IYY_tgx_IHuhSq3AJ5eI5OnqOPBNLWSHKh2a30DoXe8/edit?usp=sharing"",""สุราษฎร์ธานี!J142"")"),0)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IFERROR(__xludf.DUMMYFUNCTION("IMPORTRANGE(""https://docs.google.com/spreadsheets/d/1IYY_tgx_IHuhSq3AJ5eI5OnqOPBNLWSHKh2a30DoXe8/edit?usp=sharing"",""สุราษฎร์ธานี!J143"")"),0)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IFERROR(__xludf.DUMMYFUNCTION("IMPORTRANGE(""https://docs.google.com/spreadsheets/d/1IYY_tgx_IHuhSq3AJ5eI5OnqOPBNLWSHKh2a30DoXe8/edit?usp=sharing"",""สุราษฎร์ธานี!I144"")"),14)</f>
        <v>14</v>
      </c>
      <c r="J219" s="273">
        <f ca="1">IFERROR(__xludf.DUMMYFUNCTION("IMPORTRANGE(""https://docs.google.com/spreadsheets/d/1IYY_tgx_IHuhSq3AJ5eI5OnqOPBNLWSHKh2a30DoXe8/edit?usp=sharing"",""สุราษฎร์ธานี!J144"")"),14)</f>
        <v>14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20210</v>
      </c>
      <c r="M224" s="173">
        <f ca="1">IFERROR(__xludf.DUMMYFUNCTION("IMPORTRANGE(""https://docs.google.com/spreadsheets/d/1Yj_ptqi66GCucihVvJfMjLAmec39IyEx_6qawtMGysU/edit?usp=sharing"",""สบก!BS94"")"),20210)</f>
        <v>20210</v>
      </c>
      <c r="N224" s="174">
        <f ca="1">IFERROR(__xludf.DUMMYFUNCTION("IMPORTRANGE(""https://docs.google.com/spreadsheets/d/1Yj_ptqi66GCucihVvJfMjLAmec39IyEx_6qawtMGysU/edit?usp=sharing"",""สบก!BT94"")"),20210)</f>
        <v>20210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IFERROR(__xludf.DUMMYFUNCTION("IMPORTRANGE(""https://docs.google.com/spreadsheets/d/1Yj_ptqi66GCucihVvJfMjLAmec39IyEx_6qawtMGysU/edit?usp=sharing"",""สบก!BP94"")"),20210)</f>
        <v>20210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IFERROR(__xludf.DUMMYFUNCTION("IMPORTRANGE(""https://docs.google.com/spreadsheets/d/1IYY_tgx_IHuhSq3AJ5eI5OnqOPBNLWSHKh2a30DoXe8/edit?usp=sharing"",""สุราษฎร์ธานี!I149"")"),14)</f>
        <v>14</v>
      </c>
      <c r="J229" s="273">
        <f ca="1">IFERROR(__xludf.DUMMYFUNCTION("IMPORTRANGE(""https://docs.google.com/spreadsheets/d/1IYY_tgx_IHuhSq3AJ5eI5OnqOPBNLWSHKh2a30DoXe8/edit?usp=sharing"",""สุราษฎร์ธานี!J149"")"),14)</f>
        <v>14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IFERROR(__xludf.DUMMYFUNCTION("IMPORTRANGE(""https://docs.google.com/spreadsheets/d/1IYY_tgx_IHuhSq3AJ5eI5OnqOPBNLWSHKh2a30DoXe8/edit?usp=sharing"",""สุราษฎร์ธานี!J151"")"),0)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IFERROR(__xludf.DUMMYFUNCTION("IMPORTRANGE(""https://docs.google.com/spreadsheets/d/1IYY_tgx_IHuhSq3AJ5eI5OnqOPBNLWSHKh2a30DoXe8/edit?usp=sharing"",""สุราษฎร์ธานี!J152"")"),1)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IFERROR(__xludf.DUMMYFUNCTION("IMPORTRANGE(""https://docs.google.com/spreadsheets/d/1IYY_tgx_IHuhSq3AJ5eI5OnqOPBNLWSHKh2a30DoXe8/edit?usp=sharing"",""สุราษฎร์ธานี!J153"")"),1)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IFERROR(__xludf.DUMMYFUNCTION("IMPORTRANGE(""https://docs.google.com/spreadsheets/d/1IYY_tgx_IHuhSq3AJ5eI5OnqOPBNLWSHKh2a30DoXe8/edit?usp=sharing"",""สุราษฎร์ธานี!J154"")"),1)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IFERROR(__xludf.DUMMYFUNCTION("IMPORTRANGE(""https://docs.google.com/spreadsheets/d/1IYY_tgx_IHuhSq3AJ5eI5OnqOPBNLWSHKh2a30DoXe8/edit?usp=sharing"",""สุราษฎร์ธานี!I155"")"),14)</f>
        <v>14</v>
      </c>
      <c r="J235" s="195">
        <f ca="1">IFERROR(__xludf.DUMMYFUNCTION("IMPORTRANGE(""https://docs.google.com/spreadsheets/d/1IYY_tgx_IHuhSq3AJ5eI5OnqOPBNLWSHKh2a30DoXe8/edit?usp=sharing"",""สุราษฎร์ธานี!J155"")"),14)</f>
        <v>14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IFERROR(__xludf.DUMMYFUNCTION("IMPORTRANGE(""https://docs.google.com/spreadsheets/d/1IYY_tgx_IHuhSq3AJ5eI5OnqOPBNLWSHKh2a30DoXe8/edit?usp=sharing"",""สุราษฎร์ธานี!J156"")"),1)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IFERROR(__xludf.DUMMYFUNCTION("IMPORTRANGE(""https://docs.google.com/spreadsheets/d/1IYY_tgx_IHuhSq3AJ5eI5OnqOPBNLWSHKh2a30DoXe8/edit?usp=sharing"",""สุราษฎร์ธานี!J157"")"),1)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IFERROR(__xludf.DUMMYFUNCTION("IMPORTRANGE(""https://docs.google.com/spreadsheets/d/1IYY_tgx_IHuhSq3AJ5eI5OnqOPBNLWSHKh2a30DoXe8/edit?usp=sharing"",""สุราษฎร์ธานี!I158"")"),0)</f>
        <v>0</v>
      </c>
      <c r="J238" s="273">
        <f ca="1">IFERROR(__xludf.DUMMYFUNCTION("IMPORTRANGE(""https://docs.google.com/spreadsheets/d/1IYY_tgx_IHuhSq3AJ5eI5OnqOPBNLWSHKh2a30DoXe8/edit?usp=sharing"",""สุราษฎร์ธานี!J158"")"),0)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IFERROR(__xludf.DUMMYFUNCTION("IMPORTRANGE(""https://docs.google.com/spreadsheets/d/1IYY_tgx_IHuhSq3AJ5eI5OnqOPBNLWSHKh2a30DoXe8/edit?usp=sharing"",""สุราษฎร์ธานี!J161"")"),0)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IFERROR(__xludf.DUMMYFUNCTION("IMPORTRANGE(""https://docs.google.com/spreadsheets/d/1IYY_tgx_IHuhSq3AJ5eI5OnqOPBNLWSHKh2a30DoXe8/edit?usp=sharing"",""สุราษฎร์ธานี!J162"")"),0)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IFERROR(__xludf.DUMMYFUNCTION("IMPORTRANGE(""https://docs.google.com/spreadsheets/d/1IYY_tgx_IHuhSq3AJ5eI5OnqOPBNLWSHKh2a30DoXe8/edit?usp=sharing"",""สุราษฎร์ธานี!J163"")"),0)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IFERROR(__xludf.DUMMYFUNCTION("IMPORTRANGE(""https://docs.google.com/spreadsheets/d/1IYY_tgx_IHuhSq3AJ5eI5OnqOPBNLWSHKh2a30DoXe8/edit?usp=sharing"",""สุราษฎร์ธานี!I164"")"),0)</f>
        <v>0</v>
      </c>
      <c r="J244" s="194">
        <f ca="1">IFERROR(__xludf.DUMMYFUNCTION("IMPORTRANGE(""https://docs.google.com/spreadsheets/d/1IYY_tgx_IHuhSq3AJ5eI5OnqOPBNLWSHKh2a30DoXe8/edit?usp=sharing"",""สุราษฎร์ธานี!J164"")"),0)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IFERROR(__xludf.DUMMYFUNCTION("IMPORTRANGE(""https://docs.google.com/spreadsheets/d/1IYY_tgx_IHuhSq3AJ5eI5OnqOPBNLWSHKh2a30DoXe8/edit?usp=sharing"",""สุราษฎร์ธานี!J165"")"),0)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89000</v>
      </c>
      <c r="M250" s="156">
        <f t="shared" ca="1" si="77"/>
        <v>89000</v>
      </c>
      <c r="N250" s="156">
        <f t="shared" ca="1" si="77"/>
        <v>73720</v>
      </c>
      <c r="O250" s="155">
        <f t="shared" ref="O250:O252" ca="1" si="78">IF(L250&gt;0,N250*100/L250,0)</f>
        <v>82.831460674157299</v>
      </c>
      <c r="P250" s="155">
        <f t="shared" ref="P250:P252" ca="1" si="79">IF(M250&gt;0,N250*100/M250,0)</f>
        <v>82.831460674157299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89000</v>
      </c>
      <c r="M252" s="161">
        <f t="shared" ca="1" si="81"/>
        <v>89000</v>
      </c>
      <c r="N252" s="161">
        <f t="shared" ca="1" si="81"/>
        <v>73720</v>
      </c>
      <c r="O252" s="160">
        <f t="shared" ca="1" si="78"/>
        <v>82.831460674157299</v>
      </c>
      <c r="P252" s="160">
        <f t="shared" ca="1" si="79"/>
        <v>82.831460674157299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89000</v>
      </c>
      <c r="M254" s="173">
        <f ca="1">IFERROR(__xludf.DUMMYFUNCTION("IMPORTRANGE(""https://docs.google.com/spreadsheets/d/1Yj_ptqi66GCucihVvJfMjLAmec39IyEx_6qawtMGysU/edit?usp=sharing"",""สบก!CB94"")"),89000)</f>
        <v>89000</v>
      </c>
      <c r="N254" s="174">
        <f ca="1">IFERROR(__xludf.DUMMYFUNCTION("IMPORTRANGE(""https://docs.google.com/spreadsheets/d/1Yj_ptqi66GCucihVvJfMjLAmec39IyEx_6qawtMGysU/edit?usp=sharing"",""สบก!CC94"")"),73720)</f>
        <v>73720</v>
      </c>
      <c r="O254" s="175">
        <f ca="1">IF(L254&gt;0,N254*100/L254,0)</f>
        <v>82.831460674157299</v>
      </c>
      <c r="P254" s="175">
        <f ca="1">IF(M254&gt;0,N254*100/M254,0)</f>
        <v>82.831460674157299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IFERROR(__xludf.DUMMYFUNCTION("IMPORTRANGE(""https://docs.google.com/spreadsheets/d/1Yj_ptqi66GCucihVvJfMjLAmec39IyEx_6qawtMGysU/edit?usp=sharing"",""สบก!BY94"")"),89000)</f>
        <v>89000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IFERROR(__xludf.DUMMYFUNCTION("IMPORTRANGE(""https://docs.google.com/spreadsheets/d/1IYY_tgx_IHuhSq3AJ5eI5OnqOPBNLWSHKh2a30DoXe8/edit?usp=sharing"",""สุราษฎร์ธานี!J175"")"),0)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IFERROR(__xludf.DUMMYFUNCTION("IMPORTRANGE(""https://docs.google.com/spreadsheets/d/1IYY_tgx_IHuhSq3AJ5eI5OnqOPBNLWSHKh2a30DoXe8/edit?usp=sharing"",""สุราษฎร์ธานี!J176"")"),1)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IFERROR(__xludf.DUMMYFUNCTION("IMPORTRANGE(""https://docs.google.com/spreadsheets/d/1IYY_tgx_IHuhSq3AJ5eI5OnqOPBNLWSHKh2a30DoXe8/edit?usp=sharing"",""สุราษฎร์ธานี!J177"")"),1)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IFERROR(__xludf.DUMMYFUNCTION("IMPORTRANGE(""https://docs.google.com/spreadsheets/d/1IYY_tgx_IHuhSq3AJ5eI5OnqOPBNLWSHKh2a30DoXe8/edit?usp=sharing"",""สุราษฎร์ธานี!J178"")"),1)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IFERROR(__xludf.DUMMYFUNCTION("IMPORTRANGE(""https://docs.google.com/spreadsheets/d/1IYY_tgx_IHuhSq3AJ5eI5OnqOPBNLWSHKh2a30DoXe8/edit?usp=sharing"",""สุราษฎร์ธานี!I179"")"),1)</f>
        <v>1</v>
      </c>
      <c r="J264" s="195">
        <f ca="1">IFERROR(__xludf.DUMMYFUNCTION("IMPORTRANGE(""https://docs.google.com/spreadsheets/d/1IYY_tgx_IHuhSq3AJ5eI5OnqOPBNLWSHKh2a30DoXe8/edit?usp=sharing"",""สุราษฎร์ธานี!J179"")"),1)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IFERROR(__xludf.DUMMYFUNCTION("IMPORTRANGE(""https://docs.google.com/spreadsheets/d/1IYY_tgx_IHuhSq3AJ5eI5OnqOPBNLWSHKh2a30DoXe8/edit?usp=sharing"",""สุราษฎร์ธานี!I180"")"),25)</f>
        <v>25</v>
      </c>
      <c r="J265" s="195">
        <f ca="1">IFERROR(__xludf.DUMMYFUNCTION("IMPORTRANGE(""https://docs.google.com/spreadsheets/d/1IYY_tgx_IHuhSq3AJ5eI5OnqOPBNLWSHKh2a30DoXe8/edit?usp=sharing"",""สุราษฎร์ธานี!J180"")"),25)</f>
        <v>25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IFERROR(__xludf.DUMMYFUNCTION("IMPORTRANGE(""https://docs.google.com/spreadsheets/d/1IYY_tgx_IHuhSq3AJ5eI5OnqOPBNLWSHKh2a30DoXe8/edit?usp=sharing"",""สุราษฎร์ธานี!I181"")"),25)</f>
        <v>25</v>
      </c>
      <c r="J266" s="195">
        <f ca="1">IFERROR(__xludf.DUMMYFUNCTION("IMPORTRANGE(""https://docs.google.com/spreadsheets/d/1IYY_tgx_IHuhSq3AJ5eI5OnqOPBNLWSHKh2a30DoXe8/edit?usp=sharing"",""สุราษฎร์ธานี!J181"")"),0)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IFERROR(__xludf.DUMMYFUNCTION("IMPORTRANGE(""https://docs.google.com/spreadsheets/d/1IYY_tgx_IHuhSq3AJ5eI5OnqOPBNLWSHKh2a30DoXe8/edit?usp=sharing"",""สุราษฎร์ธานี!I182"")"),1)</f>
        <v>1</v>
      </c>
      <c r="J267" s="195">
        <f ca="1">IFERROR(__xludf.DUMMYFUNCTION("IMPORTRANGE(""https://docs.google.com/spreadsheets/d/1IYY_tgx_IHuhSq3AJ5eI5OnqOPBNLWSHKh2a30DoXe8/edit?usp=sharing"",""สุราษฎร์ธานี!J182"")"),0)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IFERROR(__xludf.DUMMYFUNCTION("IMPORTRANGE(""https://docs.google.com/spreadsheets/d/1IYY_tgx_IHuhSq3AJ5eI5OnqOPBNLWSHKh2a30DoXe8/edit?usp=sharing"",""สุราษฎร์ธานี!J183"")"),0)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IFERROR(__xludf.DUMMYFUNCTION("IMPORTRANGE(""https://docs.google.com/spreadsheets/d/1IYY_tgx_IHuhSq3AJ5eI5OnqOPBNLWSHKh2a30DoXe8/edit?usp=sharing"",""สุราษฎร์ธานี!J184"")"),0)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447600</v>
      </c>
      <c r="M271" s="156">
        <f t="shared" ca="1" si="83"/>
        <v>447600</v>
      </c>
      <c r="N271" s="156">
        <f t="shared" ca="1" si="83"/>
        <v>319063.53999999998</v>
      </c>
      <c r="O271" s="155">
        <f t="shared" ref="O271:O273" ca="1" si="84">IF(L271&gt;0,N271*100/L271,0)</f>
        <v>71.283185880250215</v>
      </c>
      <c r="P271" s="155">
        <f t="shared" ref="P271:P273" ca="1" si="85">IF(M271&gt;0,N271*100/M271,0)</f>
        <v>71.283185880250215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447600</v>
      </c>
      <c r="M273" s="161">
        <f t="shared" ca="1" si="87"/>
        <v>447600</v>
      </c>
      <c r="N273" s="161">
        <f t="shared" ca="1" si="87"/>
        <v>319063.53999999998</v>
      </c>
      <c r="O273" s="160">
        <f t="shared" ca="1" si="84"/>
        <v>71.283185880250215</v>
      </c>
      <c r="P273" s="160">
        <f t="shared" ca="1" si="85"/>
        <v>71.283185880250215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447600</v>
      </c>
      <c r="M275" s="173">
        <f ca="1">IFERROR(__xludf.DUMMYFUNCTION("IMPORTRANGE(""https://docs.google.com/spreadsheets/d/1Yj_ptqi66GCucihVvJfMjLAmec39IyEx_6qawtMGysU/edit?usp=sharing"",""สบก!CK94"")"),447600)</f>
        <v>447600</v>
      </c>
      <c r="N275" s="174">
        <f ca="1">IFERROR(__xludf.DUMMYFUNCTION("IMPORTRANGE(""https://docs.google.com/spreadsheets/d/1Yj_ptqi66GCucihVvJfMjLAmec39IyEx_6qawtMGysU/edit?usp=sharing"",""สบก!CL94"")"),319063.54)</f>
        <v>319063.53999999998</v>
      </c>
      <c r="O275" s="175">
        <f ca="1">IF(L275&gt;0,N275*100/L275,0)</f>
        <v>71.283185880250215</v>
      </c>
      <c r="P275" s="175">
        <f ca="1">IF(M275&gt;0,N275*100/M275,0)</f>
        <v>71.283185880250215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IFERROR(__xludf.DUMMYFUNCTION("IMPORTRANGE(""https://docs.google.com/spreadsheets/d/1Yj_ptqi66GCucihVvJfMjLAmec39IyEx_6qawtMGysU/edit?usp=sharing"",""สบก!CG94"")"),264000)</f>
        <v>264000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IFERROR(__xludf.DUMMYFUNCTION("IMPORTRANGE(""https://docs.google.com/spreadsheets/d/1Yj_ptqi66GCucihVvJfMjLAmec39IyEx_6qawtMGysU/edit?usp=sharing"",""สบก!CH94"")"),183600)</f>
        <v>183600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IFERROR(__xludf.DUMMYFUNCTION("IMPORTRANGE(""https://docs.google.com/spreadsheets/d/1IYY_tgx_IHuhSq3AJ5eI5OnqOPBNLWSHKh2a30DoXe8/edit?usp=sharing"",""สุราษฎร์ธานี!J191"")"),0)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IFERROR(__xludf.DUMMYFUNCTION("IMPORTRANGE(""https://docs.google.com/spreadsheets/d/1IYY_tgx_IHuhSq3AJ5eI5OnqOPBNLWSHKh2a30DoXe8/edit?usp=sharing"",""สุราษฎร์ธานี!J192"")"),1)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IFERROR(__xludf.DUMMYFUNCTION("IMPORTRANGE(""https://docs.google.com/spreadsheets/d/1IYY_tgx_IHuhSq3AJ5eI5OnqOPBNLWSHKh2a30DoXe8/edit?usp=sharing"",""สุราษฎร์ธานี!J193"")"),1)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IFERROR(__xludf.DUMMYFUNCTION("IMPORTRANGE(""https://docs.google.com/spreadsheets/d/1IYY_tgx_IHuhSq3AJ5eI5OnqOPBNLWSHKh2a30DoXe8/edit?usp=sharing"",""สุราษฎร์ธานี!J194"")"),1)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IFERROR(__xludf.DUMMYFUNCTION("IMPORTRANGE(""https://docs.google.com/spreadsheets/d/1IYY_tgx_IHuhSq3AJ5eI5OnqOPBNLWSHKh2a30DoXe8/edit?usp=sharing"",""สุราษฎร์ธานี!I195"")"),20)</f>
        <v>20</v>
      </c>
      <c r="J285" s="195">
        <f ca="1">IFERROR(__xludf.DUMMYFUNCTION("IMPORTRANGE(""https://docs.google.com/spreadsheets/d/1IYY_tgx_IHuhSq3AJ5eI5OnqOPBNLWSHKh2a30DoXe8/edit?usp=sharing"",""สุราษฎร์ธานี!J195"")"),20)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IFERROR(__xludf.DUMMYFUNCTION("IMPORTRANGE(""https://docs.google.com/spreadsheets/d/1IYY_tgx_IHuhSq3AJ5eI5OnqOPBNLWSHKh2a30DoXe8/edit?usp=sharing"",""สุราษฎร์ธานี!J196"")"),0)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IFERROR(__xludf.DUMMYFUNCTION("IMPORTRANGE(""https://docs.google.com/spreadsheets/d/1IYY_tgx_IHuhSq3AJ5eI5OnqOPBNLWSHKh2a30DoXe8/edit?usp=sharing"",""สุราษฎร์ธานี!J197"")"),0)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84260</v>
      </c>
      <c r="M290" s="156">
        <f t="shared" ca="1" si="88"/>
        <v>84260</v>
      </c>
      <c r="N290" s="156">
        <f t="shared" ca="1" si="88"/>
        <v>84260</v>
      </c>
      <c r="O290" s="155">
        <f t="shared" ref="O290:O292" ca="1" si="89">IF(L290&gt;0,N290*100/L290,0)</f>
        <v>100</v>
      </c>
      <c r="P290" s="155">
        <f t="shared" ref="P290:P292" ca="1" si="90">IF(M290&gt;0,N290*100/M290,0)</f>
        <v>100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84260</v>
      </c>
      <c r="M292" s="161">
        <f t="shared" ca="1" si="92"/>
        <v>84260</v>
      </c>
      <c r="N292" s="161">
        <f t="shared" ca="1" si="92"/>
        <v>84260</v>
      </c>
      <c r="O292" s="160">
        <f t="shared" ca="1" si="89"/>
        <v>100</v>
      </c>
      <c r="P292" s="160">
        <f t="shared" ca="1" si="90"/>
        <v>100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72260</v>
      </c>
      <c r="M294" s="173">
        <f ca="1">IFERROR(__xludf.DUMMYFUNCTION("IMPORTRANGE(""https://docs.google.com/spreadsheets/d/1Yj_ptqi66GCucihVvJfMjLAmec39IyEx_6qawtMGysU/edit?usp=sharing"",""สบก!CT94"")"),72260)</f>
        <v>72260</v>
      </c>
      <c r="N294" s="174">
        <f ca="1">IFERROR(__xludf.DUMMYFUNCTION("IMPORTRANGE(""https://docs.google.com/spreadsheets/d/1Yj_ptqi66GCucihVvJfMjLAmec39IyEx_6qawtMGysU/edit?usp=sharing"",""สบก!CU94"")"),72260)</f>
        <v>72260</v>
      </c>
      <c r="O294" s="175">
        <f ca="1">IF(L294&gt;0,N294*100/L294,0)</f>
        <v>100</v>
      </c>
      <c r="P294" s="175">
        <f ca="1">IF(M294&gt;0,N294*100/M294,0)</f>
        <v>100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IFERROR(__xludf.DUMMYFUNCTION("IMPORTRANGE(""https://docs.google.com/spreadsheets/d/1Yj_ptqi66GCucihVvJfMjLAmec39IyEx_6qawtMGysU/edit?usp=sharing"",""สบก!CQ94"")"),72260)</f>
        <v>72260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IFERROR(__xludf.DUMMYFUNCTION("IMPORTRANGE(""https://docs.google.com/spreadsheets/d/1IYY_tgx_IHuhSq3AJ5eI5OnqOPBNLWSHKh2a30DoXe8/edit?usp=sharing"",""สุราษฎร์ธานี!J205"")"),0)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IFERROR(__xludf.DUMMYFUNCTION("IMPORTRANGE(""https://docs.google.com/spreadsheets/d/1IYY_tgx_IHuhSq3AJ5eI5OnqOPBNLWSHKh2a30DoXe8/edit?usp=sharing"",""สุราษฎร์ธานี!J206"")"),1)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IFERROR(__xludf.DUMMYFUNCTION("IMPORTRANGE(""https://docs.google.com/spreadsheets/d/1IYY_tgx_IHuhSq3AJ5eI5OnqOPBNLWSHKh2a30DoXe8/edit?usp=sharing"",""สุราษฎร์ธานี!J207"")"),1)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IFERROR(__xludf.DUMMYFUNCTION("IMPORTRANGE(""https://docs.google.com/spreadsheets/d/1IYY_tgx_IHuhSq3AJ5eI5OnqOPBNLWSHKh2a30DoXe8/edit?usp=sharing"",""สุราษฎร์ธานี!J208"")"),1)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IFERROR(__xludf.DUMMYFUNCTION("IMPORTRANGE(""https://docs.google.com/spreadsheets/d/1IYY_tgx_IHuhSq3AJ5eI5OnqOPBNLWSHKh2a30DoXe8/edit?usp=sharing"",""สุราษฎร์ธานี!I209"")"),15)</f>
        <v>15</v>
      </c>
      <c r="J304" s="210">
        <f ca="1">IFERROR(__xludf.DUMMYFUNCTION("IMPORTRANGE(""https://docs.google.com/spreadsheets/d/1IYY_tgx_IHuhSq3AJ5eI5OnqOPBNLWSHKh2a30DoXe8/edit?usp=sharing"",""สุราษฎร์ธานี!J209"")"),15)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IFERROR(__xludf.DUMMYFUNCTION("IMPORTRANGE(""https://docs.google.com/spreadsheets/d/1IYY_tgx_IHuhSq3AJ5eI5OnqOPBNLWSHKh2a30DoXe8/edit?usp=sharing"",""สุราษฎร์ธานี!I211"")"),15)</f>
        <v>15</v>
      </c>
      <c r="J306" s="210">
        <f ca="1">IFERROR(__xludf.DUMMYFUNCTION("IMPORTRANGE(""https://docs.google.com/spreadsheets/d/1IYY_tgx_IHuhSq3AJ5eI5OnqOPBNLWSHKh2a30DoXe8/edit?usp=sharing"",""สุราษฎร์ธานี!J211"")"),15)</f>
        <v>15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IFERROR(__xludf.DUMMYFUNCTION("IMPORTRANGE(""https://docs.google.com/spreadsheets/d/1IYY_tgx_IHuhSq3AJ5eI5OnqOPBNLWSHKh2a30DoXe8/edit?usp=sharing"",""สุราษฎร์ธานี!J212"")"),0)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IFERROR(__xludf.DUMMYFUNCTION("IMPORTRANGE(""https://docs.google.com/spreadsheets/d/1IYY_tgx_IHuhSq3AJ5eI5OnqOPBNLWSHKh2a30DoXe8/edit?usp=sharing"",""สุราษฎร์ธานี!J213"")"),0)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278600</v>
      </c>
      <c r="N310" s="156">
        <f t="shared" ca="1" si="93"/>
        <v>217909.76000000001</v>
      </c>
      <c r="O310" s="155">
        <f t="shared" ref="O310:O312" ca="1" si="94">IF(L310&gt;0,N310*100/L310,0)</f>
        <v>78.215994256999281</v>
      </c>
      <c r="P310" s="155">
        <f t="shared" ref="P310:P312" ca="1" si="95">IF(M310&gt;0,N310*100/M310,0)</f>
        <v>78.215994256999281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278600</v>
      </c>
      <c r="N312" s="161">
        <f t="shared" ca="1" si="97"/>
        <v>217909.76000000001</v>
      </c>
      <c r="O312" s="160">
        <f t="shared" ca="1" si="94"/>
        <v>78.215994256999281</v>
      </c>
      <c r="P312" s="160">
        <f t="shared" ca="1" si="95"/>
        <v>78.215994256999281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278600</v>
      </c>
      <c r="M314" s="173">
        <f ca="1">IFERROR(__xludf.DUMMYFUNCTION("IMPORTRANGE(""https://docs.google.com/spreadsheets/d/1Yj_ptqi66GCucihVvJfMjLAmec39IyEx_6qawtMGysU/edit?usp=sharing"",""สบก!DC94"")"),278600)</f>
        <v>278600</v>
      </c>
      <c r="N314" s="174">
        <f ca="1">IFERROR(__xludf.DUMMYFUNCTION("IMPORTRANGE(""https://docs.google.com/spreadsheets/d/1Yj_ptqi66GCucihVvJfMjLAmec39IyEx_6qawtMGysU/edit?usp=sharing"",""สบก!DD94"")"),217909.76)</f>
        <v>217909.76000000001</v>
      </c>
      <c r="O314" s="175">
        <f ca="1">IF(L314&gt;0,N314*100/L314,0)</f>
        <v>78.215994256999281</v>
      </c>
      <c r="P314" s="175">
        <f ca="1">IF(M314&gt;0,N314*100/M314,0)</f>
        <v>78.215994256999281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IFERROR(__xludf.DUMMYFUNCTION("IMPORTRANGE(""https://docs.google.com/spreadsheets/d/1Yj_ptqi66GCucihVvJfMjLAmec39IyEx_6qawtMGysU/edit?usp=sharing"",""สบก!CZ94"")"),278600)</f>
        <v>278600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IFERROR(__xludf.DUMMYFUNCTION("IMPORTRANGE(""https://docs.google.com/spreadsheets/d/1IYY_tgx_IHuhSq3AJ5eI5OnqOPBNLWSHKh2a30DoXe8/edit?usp=sharing"",""สุราษฎร์ธานี!J220"")"),0)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IFERROR(__xludf.DUMMYFUNCTION("IMPORTRANGE(""https://docs.google.com/spreadsheets/d/1IYY_tgx_IHuhSq3AJ5eI5OnqOPBNLWSHKh2a30DoXe8/edit?usp=sharing"",""สุราษฎร์ธานี!J221"")"),1)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IFERROR(__xludf.DUMMYFUNCTION("IMPORTRANGE(""https://docs.google.com/spreadsheets/d/1IYY_tgx_IHuhSq3AJ5eI5OnqOPBNLWSHKh2a30DoXe8/edit?usp=sharing"",""สุราษฎร์ธานี!J222"")"),1)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IFERROR(__xludf.DUMMYFUNCTION("IMPORTRANGE(""https://docs.google.com/spreadsheets/d/1IYY_tgx_IHuhSq3AJ5eI5OnqOPBNLWSHKh2a30DoXe8/edit?usp=sharing"",""สุราษฎร์ธานี!J223"")"),1)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IFERROR(__xludf.DUMMYFUNCTION("IMPORTRANGE(""https://docs.google.com/spreadsheets/d/1IYY_tgx_IHuhSq3AJ5eI5OnqOPBNLWSHKh2a30DoXe8/edit?usp=sharing"",""สุราษฎร์ธานี!I224"")"),1)</f>
        <v>1</v>
      </c>
      <c r="J324" s="210">
        <f ca="1">IFERROR(__xludf.DUMMYFUNCTION("IMPORTRANGE(""https://docs.google.com/spreadsheets/d/1IYY_tgx_IHuhSq3AJ5eI5OnqOPBNLWSHKh2a30DoXe8/edit?usp=sharing"",""สุราษฎร์ธานี!J224"")"),1)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IFERROR(__xludf.DUMMYFUNCTION("IMPORTRANGE(""https://docs.google.com/spreadsheets/d/1IYY_tgx_IHuhSq3AJ5eI5OnqOPBNLWSHKh2a30DoXe8/edit?usp=sharing"",""สุราษฎร์ธานี!J225"")"),0)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IFERROR(__xludf.DUMMYFUNCTION("IMPORTRANGE(""https://docs.google.com/spreadsheets/d/1IYY_tgx_IHuhSq3AJ5eI5OnqOPBNLWSHKh2a30DoXe8/edit?usp=sharing"",""สุราษฎร์ธานี!J226"")"),0)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IFERROR(__xludf.DUMMYFUNCTION("IMPORTRANGE(""https://docs.google.com/spreadsheets/d/1IYY_tgx_IHuhSq3AJ5eI5OnqOPBNLWSHKh2a30DoXe8/edit?usp=sharing"",""สุราษฎร์ธานี!I228"")"),750)</f>
        <v>750</v>
      </c>
      <c r="J328" s="345">
        <f ca="1">IFERROR(__xludf.DUMMYFUNCTION("IMPORTRANGE(""https://docs.google.com/spreadsheets/d/1IYY_tgx_IHuhSq3AJ5eI5OnqOPBNLWSHKh2a30DoXe8/edit?usp=sharing"",""สุราษฎร์ธานี!J228"")"),707)</f>
        <v>707</v>
      </c>
      <c r="K328" s="323">
        <f ca="1">IF(I328&gt;0,J328*100/I328,0)</f>
        <v>94.266666666666666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2000810</v>
      </c>
      <c r="M329" s="156">
        <f t="shared" ca="1" si="98"/>
        <v>2059810</v>
      </c>
      <c r="N329" s="156">
        <f t="shared" ca="1" si="98"/>
        <v>1318615.3500000001</v>
      </c>
      <c r="O329" s="155">
        <f t="shared" ref="O329:O331" ca="1" si="99">IF(L329&gt;0,N329*100/L329,0)</f>
        <v>65.904076349078636</v>
      </c>
      <c r="P329" s="155">
        <f t="shared" ref="P329:P331" ca="1" si="100">IF(M329&gt;0,N329*100/M329,0)</f>
        <v>64.016358304892208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2000810</v>
      </c>
      <c r="M331" s="161">
        <f t="shared" ca="1" si="102"/>
        <v>2059810</v>
      </c>
      <c r="N331" s="161">
        <f t="shared" ca="1" si="102"/>
        <v>1318615.3500000001</v>
      </c>
      <c r="O331" s="160">
        <f t="shared" ca="1" si="99"/>
        <v>65.904076349078636</v>
      </c>
      <c r="P331" s="160">
        <f t="shared" ca="1" si="100"/>
        <v>64.016358304892208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1864010</v>
      </c>
      <c r="M333" s="173">
        <f ca="1">IFERROR(__xludf.DUMMYFUNCTION("IMPORTRANGE(""https://docs.google.com/spreadsheets/d/1Yj_ptqi66GCucihVvJfMjLAmec39IyEx_6qawtMGysU/edit?usp=sharing"",""สบก!DL94"")"),1923010)</f>
        <v>1923010</v>
      </c>
      <c r="N333" s="174">
        <f ca="1">IFERROR(__xludf.DUMMYFUNCTION("IMPORTRANGE(""https://docs.google.com/spreadsheets/d/1Yj_ptqi66GCucihVvJfMjLAmec39IyEx_6qawtMGysU/edit?usp=sharing"",""สบก!DM94"")"),1181815.35)</f>
        <v>1181815.3500000001</v>
      </c>
      <c r="O333" s="175">
        <f ca="1">IF(L333&gt;0,N333*100/L333,0)</f>
        <v>63.401770913246182</v>
      </c>
      <c r="P333" s="175">
        <f ca="1">IF(M333&gt;0,N333*100/M333,0)</f>
        <v>61.456536887483693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IFERROR(__xludf.DUMMYFUNCTION("IMPORTRANGE(""https://docs.google.com/spreadsheets/d/1Yj_ptqi66GCucihVvJfMjLAmec39IyEx_6qawtMGysU/edit?usp=sharing"",""สบก!DH94"")"),923400)</f>
        <v>923400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IFERROR(__xludf.DUMMYFUNCTION("IMPORTRANGE(""https://docs.google.com/spreadsheets/d/1Yj_ptqi66GCucihVvJfMjLAmec39IyEx_6qawtMGysU/edit?usp=sharing"",""สบก!DI94"")"),940610)</f>
        <v>940610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IFERROR(__xludf.DUMMYFUNCTION("IMPORTRANGE(""https://docs.google.com/spreadsheets/d/1IYY_tgx_IHuhSq3AJ5eI5OnqOPBNLWSHKh2a30DoXe8/edit?usp=sharing"",""สุราษฎร์ธานี!I234"")"),0)</f>
        <v>0</v>
      </c>
      <c r="J339" s="194">
        <f ca="1">IFERROR(__xludf.DUMMYFUNCTION("IMPORTRANGE(""https://docs.google.com/spreadsheets/d/1IYY_tgx_IHuhSq3AJ5eI5OnqOPBNLWSHKh2a30DoXe8/edit?usp=sharing"",""สุราษฎร์ธานี!J234"")"),797)</f>
        <v>797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IFERROR(__xludf.DUMMYFUNCTION("IMPORTRANGE(""https://docs.google.com/spreadsheets/d/1IYY_tgx_IHuhSq3AJ5eI5OnqOPBNLWSHKh2a30DoXe8/edit?usp=sharing"",""สุราษฎร์ธานี!I235"")"),6000)</f>
        <v>6000</v>
      </c>
      <c r="J340" s="194">
        <f ca="1">IFERROR(__xludf.DUMMYFUNCTION("IMPORTRANGE(""https://docs.google.com/spreadsheets/d/1IYY_tgx_IHuhSq3AJ5eI5OnqOPBNLWSHKh2a30DoXe8/edit?usp=sharing"",""สุราษฎร์ธานี!J235"")"),8259.4)</f>
        <v>8259.4</v>
      </c>
      <c r="K340" s="348">
        <f t="shared" ca="1" si="103"/>
        <v>137.65666666666667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IFERROR(__xludf.DUMMYFUNCTION("IMPORTRANGE(""https://docs.google.com/spreadsheets/d/1IYY_tgx_IHuhSq3AJ5eI5OnqOPBNLWSHKh2a30DoXe8/edit?usp=sharing"",""สุราษฎร์ธานี!I236"")"),750)</f>
        <v>750</v>
      </c>
      <c r="J341" s="194">
        <f ca="1">IFERROR(__xludf.DUMMYFUNCTION("IMPORTRANGE(""https://docs.google.com/spreadsheets/d/1IYY_tgx_IHuhSq3AJ5eI5OnqOPBNLWSHKh2a30DoXe8/edit?usp=sharing"",""สุราษฎร์ธานี!J236"")"),1197)</f>
        <v>1197</v>
      </c>
      <c r="K341" s="348">
        <f t="shared" ca="1" si="103"/>
        <v>159.6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4">
        <f ca="1">IFERROR(__xludf.DUMMYFUNCTION("IMPORTRANGE(""https://docs.google.com/spreadsheets/d/1IYY_tgx_IHuhSq3AJ5eI5OnqOPBNLWSHKh2a30DoXe8/edit?usp=sharing"",""สุราษฎร์ธานี!J237"")"),15977.99)</f>
        <v>15977.99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IFERROR(__xludf.DUMMYFUNCTION("IMPORTRANGE(""https://docs.google.com/spreadsheets/d/1IYY_tgx_IHuhSq3AJ5eI5OnqOPBNLWSHKh2a30DoXe8/edit?usp=sharing"",""สุราษฎร์ธานี!I238"")"),750)</f>
        <v>750</v>
      </c>
      <c r="J343" s="194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4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IFERROR(__xludf.DUMMYFUNCTION("IMPORTRANGE(""https://docs.google.com/spreadsheets/d/1IYY_tgx_IHuhSq3AJ5eI5OnqOPBNLWSHKh2a30DoXe8/edit?usp=sharing"",""สุราษฎร์ธานี!I240"")"),750)</f>
        <v>750</v>
      </c>
      <c r="J345" s="194">
        <f ca="1">IFERROR(__xludf.DUMMYFUNCTION("IMPORTRANGE(""https://docs.google.com/spreadsheets/d/1IYY_tgx_IHuhSq3AJ5eI5OnqOPBNLWSHKh2a30DoXe8/edit?usp=sharing"",""สุราษฎร์ธานี!J240"")"),707)</f>
        <v>707</v>
      </c>
      <c r="K345" s="348">
        <f t="shared" ca="1" si="103"/>
        <v>94.266666666666666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4">
        <f ca="1">IFERROR(__xludf.DUMMYFUNCTION("IMPORTRANGE(""https://docs.google.com/spreadsheets/d/1IYY_tgx_IHuhSq3AJ5eI5OnqOPBNLWSHKh2a30DoXe8/edit?usp=sharing"",""สุราษฎร์ธานี!J241"")"),9869.47)</f>
        <v>9869.4699999999993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IFERROR(__xludf.DUMMYFUNCTION("IMPORTRANGE(""https://docs.google.com/spreadsheets/d/1IYY_tgx_IHuhSq3AJ5eI5OnqOPBNLWSHKh2a30DoXe8/edit?usp=sharing"",""สุราษฎร์ธานี!L242"")"),2759338)</f>
        <v>2759338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IFERROR(__xludf.DUMMYFUNCTION("IMPORTRANGE(""https://docs.google.com/spreadsheets/d/1IYY_tgx_IHuhSq3AJ5eI5OnqOPBNLWSHKh2a30DoXe8/edit?usp=sharing"",""สุราษฎร์ธานี!M242"")"),1058038.09)</f>
        <v>1058038.0900000001</v>
      </c>
      <c r="O347" s="364">
        <f ca="1">+IF(L347&gt;0,N347*100/L347,0)</f>
        <v>38.343910387201575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IFERROR(__xludf.DUMMYFUNCTION("IMPORTRANGE(""https://docs.google.com/spreadsheets/d/1IYY_tgx_IHuhSq3AJ5eI5OnqOPBNLWSHKh2a30DoXe8/edit?usp=sharing"",""สุราษฎร์ธานี!J244"")"),80)</f>
        <v>80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IFERROR(__xludf.DUMMYFUNCTION("IMPORTRANGE(""https://docs.google.com/spreadsheets/d/1IYY_tgx_IHuhSq3AJ5eI5OnqOPBNLWSHKh2a30DoXe8/edit?usp=sharing"",""สุราษฎร์ธานี!M244"")"),256788.63)</f>
        <v>256788.63</v>
      </c>
      <c r="O349" s="379">
        <f ca="1">+IF(L349&gt;0,N349*100/L349,0)</f>
        <v>82.526234091785582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IFERROR(__xludf.DUMMYFUNCTION("IMPORTRANGE(""https://docs.google.com/spreadsheets/d/1IYY_tgx_IHuhSq3AJ5eI5OnqOPBNLWSHKh2a30DoXe8/edit?usp=sharing"",""สุราษฎร์ธานี!J245"")"),40)</f>
        <v>40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IFERROR(__xludf.DUMMYFUNCTION("IMPORTRANGE(""https://docs.google.com/spreadsheets/d/1IYY_tgx_IHuhSq3AJ5eI5OnqOPBNLWSHKh2a30DoXe8/edit?usp=sharing"",""สุราษฎร์ธานี!L246"")"),0)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69"/>
      <c r="N352" s="168">
        <f ca="1">IFERROR(__xludf.DUMMYFUNCTION("IMPORTRANGE(""https://docs.google.com/spreadsheets/d/1IYY_tgx_IHuhSq3AJ5eI5OnqOPBNLWSHKh2a30DoXe8/edit?usp=sharing"",""สุราษฎร์ธานี!M247"")"),256788.63)</f>
        <v>256788.63</v>
      </c>
      <c r="O352" s="169">
        <f t="shared" ca="1" si="105"/>
        <v>82.526234091785582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IFERROR(__xludf.DUMMYFUNCTION("IMPORTRANGE(""https://docs.google.com/spreadsheets/d/1IYY_tgx_IHuhSq3AJ5eI5OnqOPBNLWSHKh2a30DoXe8/edit?usp=sharing"",""สุราษฎร์ธานี!L248"")"),0)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IFERROR(__xludf.DUMMYFUNCTION("IMPORTRANGE(""https://docs.google.com/spreadsheets/d/1IYY_tgx_IHuhSq3AJ5eI5OnqOPBNLWSHKh2a30DoXe8/edit?usp=sharing"",""สุราษฎร์ธานี!M248"")"),0)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5"/>
      <c r="N354" s="172">
        <f ca="1">IFERROR(__xludf.DUMMYFUNCTION("IMPORTRANGE(""https://docs.google.com/spreadsheets/d/1IYY_tgx_IHuhSq3AJ5eI5OnqOPBNLWSHKh2a30DoXe8/edit?usp=sharing"",""สุราษฎร์ธานี!M249"")"),256788.63)</f>
        <v>256788.63</v>
      </c>
      <c r="O354" s="175">
        <f t="shared" ca="1" si="105"/>
        <v>82.526234091785582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IFERROR(__xludf.DUMMYFUNCTION("IMPORTRANGE(""https://docs.google.com/spreadsheets/d/1IYY_tgx_IHuhSq3AJ5eI5OnqOPBNLWSHKh2a30DoXe8/edit?usp=sharing"",""สุราษฎร์ธานี!M251"")"),83000)</f>
        <v>83000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IFERROR(__xludf.DUMMYFUNCTION("IMPORTRANGE(""https://docs.google.com/spreadsheets/d/1IYY_tgx_IHuhSq3AJ5eI5OnqOPBNLWSHKh2a30DoXe8/edit?usp=sharing"",""สุราษฎร์ธานี!M252"")"),114008.63)</f>
        <v>114008.63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IFERROR(__xludf.DUMMYFUNCTION("IMPORTRANGE(""https://docs.google.com/spreadsheets/d/1IYY_tgx_IHuhSq3AJ5eI5OnqOPBNLWSHKh2a30DoXe8/edit?usp=sharing"",""สุราษฎร์ธานี!M253"")"),9380)</f>
        <v>9380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IFERROR(__xludf.DUMMYFUNCTION("IMPORTRANGE(""https://docs.google.com/spreadsheets/d/1IYY_tgx_IHuhSq3AJ5eI5OnqOPBNLWSHKh2a30DoXe8/edit?usp=sharing"",""สุราษฎร์ธานี!J255"")"),0)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IFERROR(__xludf.DUMMYFUNCTION("IMPORTRANGE(""https://docs.google.com/spreadsheets/d/1IYY_tgx_IHuhSq3AJ5eI5OnqOPBNLWSHKh2a30DoXe8/edit?usp=sharing"",""สุราษฎร์ธานี!J256"")"),1)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IFERROR(__xludf.DUMMYFUNCTION("IMPORTRANGE(""https://docs.google.com/spreadsheets/d/1IYY_tgx_IHuhSq3AJ5eI5OnqOPBNLWSHKh2a30DoXe8/edit?usp=sharing"",""สุราษฎร์ธานี!J257"")"),1)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IFERROR(__xludf.DUMMYFUNCTION("IMPORTRANGE(""https://docs.google.com/spreadsheets/d/1IYY_tgx_IHuhSq3AJ5eI5OnqOPBNLWSHKh2a30DoXe8/edit?usp=sharing"",""สุราษฎร์ธานี!J258"")"),1)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IFERROR(__xludf.DUMMYFUNCTION("IMPORTRANGE(""https://docs.google.com/spreadsheets/d/1IYY_tgx_IHuhSq3AJ5eI5OnqOPBNLWSHKh2a30DoXe8/edit?usp=sharing"",""สุราษฎร์ธานี!J166"")"),0)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IFERROR(__xludf.DUMMYFUNCTION("IMPORTRANGE(""https://docs.google.com/spreadsheets/d/1IYY_tgx_IHuhSq3AJ5eI5OnqOPBNLWSHKh2a30DoXe8/edit?usp=sharing"",""สุราษฎร์ธานี!J166"")"),0)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IFERROR(__xludf.DUMMYFUNCTION("IMPORTRANGE(""https://docs.google.com/spreadsheets/d/1IYY_tgx_IHuhSq3AJ5eI5OnqOPBNLWSHKh2a30DoXe8/edit?usp=sharing"",""สุราษฎร์ธานี!J166"")"),0)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IFERROR(__xludf.DUMMYFUNCTION("IMPORTRANGE(""https://docs.google.com/spreadsheets/d/1IYY_tgx_IHuhSq3AJ5eI5OnqOPBNLWSHKh2a30DoXe8/edit?usp=sharing"",""สุราษฎร์ธานี!J166"")"),0)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IFERROR(__xludf.DUMMYFUNCTION("IMPORTRANGE(""https://docs.google.com/spreadsheets/d/1IYY_tgx_IHuhSq3AJ5eI5OnqOPBNLWSHKh2a30DoXe8/edit?usp=sharing"",""สุราษฎร์ธานี!I263"")"),40)</f>
        <v>40</v>
      </c>
      <c r="J368" s="194">
        <f ca="1">IFERROR(__xludf.DUMMYFUNCTION("IMPORTRANGE(""https://docs.google.com/spreadsheets/d/1IYY_tgx_IHuhSq3AJ5eI5OnqOPBNLWSHKh2a30DoXe8/edit?usp=sharing"",""สุราษฎร์ธานี!J263"")"),40)</f>
        <v>40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IFERROR(__xludf.DUMMYFUNCTION("IMPORTRANGE(""https://docs.google.com/spreadsheets/d/1IYY_tgx_IHuhSq3AJ5eI5OnqOPBNLWSHKh2a30DoXe8/edit?usp=sharing"",""สุราษฎร์ธานี!I164"")"),0)</f>
        <v>0</v>
      </c>
      <c r="J369" s="210">
        <f ca="1">IFERROR(__xludf.DUMMYFUNCTION("IMPORTRANGE(""https://docs.google.com/spreadsheets/d/1IYY_tgx_IHuhSq3AJ5eI5OnqOPBNLWSHKh2a30DoXe8/edit?usp=sharing"",""สุราษฎร์ธานี!J164"")"),0)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IFERROR(__xludf.DUMMYFUNCTION("IMPORTRANGE(""https://docs.google.com/spreadsheets/d/1IYY_tgx_IHuhSq3AJ5eI5OnqOPBNLWSHKh2a30DoXe8/edit?usp=sharing"",""สุราษฎร์ธานี!I265"")"),40)</f>
        <v>40</v>
      </c>
      <c r="J370" s="210">
        <f ca="1">IFERROR(__xludf.DUMMYFUNCTION("IMPORTRANGE(""https://docs.google.com/spreadsheets/d/1IYY_tgx_IHuhSq3AJ5eI5OnqOPBNLWSHKh2a30DoXe8/edit?usp=sharing"",""สุราษฎร์ธานี!J265"")"),20)</f>
        <v>20</v>
      </c>
      <c r="K370" s="167">
        <f t="shared" ca="1" si="106"/>
        <v>50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IFERROR(__xludf.DUMMYFUNCTION("IMPORTRANGE(""https://docs.google.com/spreadsheets/d/1IYY_tgx_IHuhSq3AJ5eI5OnqOPBNLWSHKh2a30DoXe8/edit?usp=sharing"",""สุราษฎร์ธานี!I164"")"),0)</f>
        <v>0</v>
      </c>
      <c r="J371" s="195">
        <f ca="1">IFERROR(__xludf.DUMMYFUNCTION("IMPORTRANGE(""https://docs.google.com/spreadsheets/d/1IYY_tgx_IHuhSq3AJ5eI5OnqOPBNLWSHKh2a30DoXe8/edit?usp=sharing"",""สุราษฎร์ธานี!J164"")"),0)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IFERROR(__xludf.DUMMYFUNCTION("IMPORTRANGE(""https://docs.google.com/spreadsheets/d/1IYY_tgx_IHuhSq3AJ5eI5OnqOPBNLWSHKh2a30DoXe8/edit?usp=sharing"",""สุราษฎร์ธานี!I267"")"),40)</f>
        <v>40</v>
      </c>
      <c r="J372" s="195">
        <f ca="1">IFERROR(__xludf.DUMMYFUNCTION("IMPORTRANGE(""https://docs.google.com/spreadsheets/d/1IYY_tgx_IHuhSq3AJ5eI5OnqOPBNLWSHKh2a30DoXe8/edit?usp=sharing"",""สุราษฎร์ธานี!J267"")"),20)</f>
        <v>20</v>
      </c>
      <c r="K372" s="167">
        <f t="shared" ca="1" si="106"/>
        <v>50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IFERROR(__xludf.DUMMYFUNCTION("IMPORTRANGE(""https://docs.google.com/spreadsheets/d/1IYY_tgx_IHuhSq3AJ5eI5OnqOPBNLWSHKh2a30DoXe8/edit?usp=sharing"",""สุราษฎร์ธานี!I164"")"),0)</f>
        <v>0</v>
      </c>
      <c r="J373" s="210">
        <f ca="1">IFERROR(__xludf.DUMMYFUNCTION("IMPORTRANGE(""https://docs.google.com/spreadsheets/d/1IYY_tgx_IHuhSq3AJ5eI5OnqOPBNLWSHKh2a30DoXe8/edit?usp=sharing"",""สุราษฎร์ธานี!J164"")"),0)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IFERROR(__xludf.DUMMYFUNCTION("IMPORTRANGE(""https://docs.google.com/spreadsheets/d/1IYY_tgx_IHuhSq3AJ5eI5OnqOPBNLWSHKh2a30DoXe8/edit?usp=sharing"",""สุราษฎร์ธานี!I164"")"),0)</f>
        <v>0</v>
      </c>
      <c r="J374" s="194">
        <f ca="1">IFERROR(__xludf.DUMMYFUNCTION("IMPORTRANGE(""https://docs.google.com/spreadsheets/d/1IYY_tgx_IHuhSq3AJ5eI5OnqOPBNLWSHKh2a30DoXe8/edit?usp=sharing"",""สุราษฎร์ธานี!J164"")"),0)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IFERROR(__xludf.DUMMYFUNCTION("IMPORTRANGE(""https://docs.google.com/spreadsheets/d/1IYY_tgx_IHuhSq3AJ5eI5OnqOPBNLWSHKh2a30DoXe8/edit?usp=sharing"",""สุราษฎร์ธานี!I270"")"),80)</f>
        <v>80</v>
      </c>
      <c r="J375" s="194">
        <f ca="1">IFERROR(__xludf.DUMMYFUNCTION("IMPORTRANGE(""https://docs.google.com/spreadsheets/d/1IYY_tgx_IHuhSq3AJ5eI5OnqOPBNLWSHKh2a30DoXe8/edit?usp=sharing"",""สุราษฎร์ธานี!J270"")"),80)</f>
        <v>80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IFERROR(__xludf.DUMMYFUNCTION("IMPORTRANGE(""https://docs.google.com/spreadsheets/d/1IYY_tgx_IHuhSq3AJ5eI5OnqOPBNLWSHKh2a30DoXe8/edit?usp=sharing"",""สุราษฎร์ธานี!I271"")"),40)</f>
        <v>40</v>
      </c>
      <c r="J376" s="195">
        <f ca="1">IFERROR(__xludf.DUMMYFUNCTION("IMPORTRANGE(""https://docs.google.com/spreadsheets/d/1IYY_tgx_IHuhSq3AJ5eI5OnqOPBNLWSHKh2a30DoXe8/edit?usp=sharing"",""สุราษฎร์ธานี!J271"")"),40)</f>
        <v>40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IFERROR(__xludf.DUMMYFUNCTION("IMPORTRANGE(""https://docs.google.com/spreadsheets/d/1IYY_tgx_IHuhSq3AJ5eI5OnqOPBNLWSHKh2a30DoXe8/edit?usp=sharing"",""สุราษฎร์ธานี!I272"")"),40)</f>
        <v>40</v>
      </c>
      <c r="J377" s="210">
        <f ca="1">IFERROR(__xludf.DUMMYFUNCTION("IMPORTRANGE(""https://docs.google.com/spreadsheets/d/1IYY_tgx_IHuhSq3AJ5eI5OnqOPBNLWSHKh2a30DoXe8/edit?usp=sharing"",""สุราษฎร์ธานี!J272"")"),40)</f>
        <v>40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IFERROR(__xludf.DUMMYFUNCTION("IMPORTRANGE(""https://docs.google.com/spreadsheets/d/1IYY_tgx_IHuhSq3AJ5eI5OnqOPBNLWSHKh2a30DoXe8/edit?usp=sharing"",""สุราษฎร์ธานี!J273"")"),0)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IFERROR(__xludf.DUMMYFUNCTION("IMPORTRANGE(""https://docs.google.com/spreadsheets/d/1IYY_tgx_IHuhSq3AJ5eI5OnqOPBNLWSHKh2a30DoXe8/edit?usp=sharing"",""สุราษฎร์ธานี!J274"")"),0)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IFERROR(__xludf.DUMMYFUNCTION("IMPORTRANGE(""https://docs.google.com/spreadsheets/d/1IYY_tgx_IHuhSq3AJ5eI5OnqOPBNLWSHKh2a30DoXe8/edit?usp=sharing"",""สุราษฎร์ธานี!M275"")"),315984.1)</f>
        <v>315984.09999999998</v>
      </c>
      <c r="O380" s="379">
        <f ca="1">+IF(L380&gt;0,N380*100/L380,0)</f>
        <v>30.722212499513862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IFERROR(__xludf.DUMMYFUNCTION("IMPORTRANGE(""https://docs.google.com/spreadsheets/d/1IYY_tgx_IHuhSq3AJ5eI5OnqOPBNLWSHKh2a30DoXe8/edit?usp=sharing"",""สุราษฎร์ธานี!L277"")"),0)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IFERROR(__xludf.DUMMYFUNCTION("IMPORTRANGE(""https://docs.google.com/spreadsheets/d/1IYY_tgx_IHuhSq3AJ5eI5OnqOPBNLWSHKh2a30DoXe8/edit?usp=sharing"",""สุราษฎร์ธานี!M278"")"),315984.1)</f>
        <v>315984.09999999998</v>
      </c>
      <c r="O383" s="169">
        <f t="shared" ca="1" si="109"/>
        <v>30.722212499513862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IFERROR(__xludf.DUMMYFUNCTION("IMPORTRANGE(""https://docs.google.com/spreadsheets/d/1IYY_tgx_IHuhSq3AJ5eI5OnqOPBNLWSHKh2a30DoXe8/edit?usp=sharing"",""สุราษฎร์ธานี!L279"")"),0)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IFERROR(__xludf.DUMMYFUNCTION("IMPORTRANGE(""https://docs.google.com/spreadsheets/d/1IYY_tgx_IHuhSq3AJ5eI5OnqOPBNLWSHKh2a30DoXe8/edit?usp=sharing"",""สุราษฎร์ธานี!M279"")"),0)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IFERROR(__xludf.DUMMYFUNCTION("IMPORTRANGE(""https://docs.google.com/spreadsheets/d/1IYY_tgx_IHuhSq3AJ5eI5OnqOPBNLWSHKh2a30DoXe8/edit?usp=sharing"",""สุราษฎร์ธานี!M280"")"),315984.1)</f>
        <v>315984.09999999998</v>
      </c>
      <c r="O385" s="175">
        <f t="shared" ca="1" si="109"/>
        <v>30.722212499513862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IFERROR(__xludf.DUMMYFUNCTION("IMPORTRANGE(""https://docs.google.com/spreadsheets/d/1IYY_tgx_IHuhSq3AJ5eI5OnqOPBNLWSHKh2a30DoXe8/edit?usp=sharing"",""สุราษฎร์ธานี!M282"")"),0)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IFERROR(__xludf.DUMMYFUNCTION("IMPORTRANGE(""https://docs.google.com/spreadsheets/d/1IYY_tgx_IHuhSq3AJ5eI5OnqOPBNLWSHKh2a30DoXe8/edit?usp=sharing"",""สุราษฎร์ธานี!M283"")"),96835.5)</f>
        <v>96835.5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IFERROR(__xludf.DUMMYFUNCTION("IMPORTRANGE(""https://docs.google.com/spreadsheets/d/1IYY_tgx_IHuhSq3AJ5eI5OnqOPBNLWSHKh2a30DoXe8/edit?usp=sharing"",""สุราษฎร์ธานี!M284"")"),21149.6)</f>
        <v>21149.599999999999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IFERROR(__xludf.DUMMYFUNCTION("IMPORTRANGE(""https://docs.google.com/spreadsheets/d/1IYY_tgx_IHuhSq3AJ5eI5OnqOPBNLWSHKh2a30DoXe8/edit?usp=sharing"",""สุราษฎร์ธานี!J286"")"),0)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IFERROR(__xludf.DUMMYFUNCTION("IMPORTRANGE(""https://docs.google.com/spreadsheets/d/1IYY_tgx_IHuhSq3AJ5eI5OnqOPBNLWSHKh2a30DoXe8/edit?usp=sharing"",""สุราษฎร์ธานี!J287"")"),1)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IFERROR(__xludf.DUMMYFUNCTION("IMPORTRANGE(""https://docs.google.com/spreadsheets/d/1IYY_tgx_IHuhSq3AJ5eI5OnqOPBNLWSHKh2a30DoXe8/edit?usp=sharing"",""สุราษฎร์ธานี!J288"")"),1)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IFERROR(__xludf.DUMMYFUNCTION("IMPORTRANGE(""https://docs.google.com/spreadsheets/d/1IYY_tgx_IHuhSq3AJ5eI5OnqOPBNLWSHKh2a30DoXe8/edit?usp=sharing"",""สุราษฎร์ธานี!J289"")"),1)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4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4">
        <f ca="1">IFERROR(__xludf.DUMMYFUNCTION("IMPORTRANGE(""https://docs.google.com/spreadsheets/d/1IYY_tgx_IHuhSq3AJ5eI5OnqOPBNLWSHKh2a30DoXe8/edit?usp=sharing"",""สุราษฎร์ธานี!J292"")"),1000)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4">
        <f ca="1">IFERROR(__xludf.DUMMYFUNCTION("IMPORTRANGE(""https://docs.google.com/spreadsheets/d/1IYY_tgx_IHuhSq3AJ5eI5OnqOPBNLWSHKh2a30DoXe8/edit?usp=sharing"",""สุราษฎร์ธานี!J293"")"),100)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IFERROR(__xludf.DUMMYFUNCTION("IMPORTRANGE(""https://docs.google.com/spreadsheets/d/1IYY_tgx_IHuhSq3AJ5eI5OnqOPBNLWSHKh2a30DoXe8/edit?usp=sharing"",""สุราษฎร์ธานี!J294"")"),0)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IFERROR(__xludf.DUMMYFUNCTION("IMPORTRANGE(""https://docs.google.com/spreadsheets/d/1IYY_tgx_IHuhSq3AJ5eI5OnqOPBNLWSHKh2a30DoXe8/edit?usp=sharing"",""สุราษฎร์ธานี!J295"")"),0)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IFERROR(__xludf.DUMMYFUNCTION("IMPORTRANGE(""https://docs.google.com/spreadsheets/d/1IYY_tgx_IHuhSq3AJ5eI5OnqOPBNLWSHKh2a30DoXe8/edit?usp=sharing"",""สุราษฎร์ธานี!M296"")"),71590)</f>
        <v>71590</v>
      </c>
      <c r="O401" s="379">
        <f ca="1">+IF(L401&gt;0,N401*100/L401,0)</f>
        <v>87.711345258515067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IFERROR(__xludf.DUMMYFUNCTION("IMPORTRANGE(""https://docs.google.com/spreadsheets/d/1IYY_tgx_IHuhSq3AJ5eI5OnqOPBNLWSHKh2a30DoXe8/edit?usp=sharing"",""สุราษฎร์ธานี!L298"")"),0)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IFERROR(__xludf.DUMMYFUNCTION("IMPORTRANGE(""https://docs.google.com/spreadsheets/d/1IYY_tgx_IHuhSq3AJ5eI5OnqOPBNLWSHKh2a30DoXe8/edit?usp=sharing"",""สุราษฎร์ธานี!M298"")"),0)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IFERROR(__xludf.DUMMYFUNCTION("IMPORTRANGE(""https://docs.google.com/spreadsheets/d/1IYY_tgx_IHuhSq3AJ5eI5OnqOPBNLWSHKh2a30DoXe8/edit?usp=sharing"",""สุราษฎร์ธานี!M299"")"),71590)</f>
        <v>71590</v>
      </c>
      <c r="O404" s="175">
        <f t="shared" ca="1" si="112"/>
        <v>87.711345258515067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IFERROR(__xludf.DUMMYFUNCTION("IMPORTRANGE(""https://docs.google.com/spreadsheets/d/1IYY_tgx_IHuhSq3AJ5eI5OnqOPBNLWSHKh2a30DoXe8/edit?usp=sharing"",""สุราษฎร์ธานี!L300"")"),0)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IFERROR(__xludf.DUMMYFUNCTION("IMPORTRANGE(""https://docs.google.com/spreadsheets/d/1IYY_tgx_IHuhSq3AJ5eI5OnqOPBNLWSHKh2a30DoXe8/edit?usp=sharing"",""สุราษฎร์ธานี!M300"")"),0)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IFERROR(__xludf.DUMMYFUNCTION("IMPORTRANGE(""https://docs.google.com/spreadsheets/d/1IYY_tgx_IHuhSq3AJ5eI5OnqOPBNLWSHKh2a30DoXe8/edit?usp=sharing"",""สุราษฎร์ธานี!M301"")"),71590)</f>
        <v>71590</v>
      </c>
      <c r="O406" s="175">
        <f t="shared" ca="1" si="112"/>
        <v>87.711345258515067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IFERROR(__xludf.DUMMYFUNCTION("IMPORTRANGE(""https://docs.google.com/spreadsheets/d/1IYY_tgx_IHuhSq3AJ5eI5OnqOPBNLWSHKh2a30DoXe8/edit?usp=sharing"",""สุราษฎร์ธานี!M303"")"),15000)</f>
        <v>15000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IFERROR(__xludf.DUMMYFUNCTION("IMPORTRANGE(""https://docs.google.com/spreadsheets/d/1IYY_tgx_IHuhSq3AJ5eI5OnqOPBNLWSHKh2a30DoXe8/edit?usp=sharing"",""สุราษฎร์ธานี!M305"")"),11690)</f>
        <v>11690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IFERROR(__xludf.DUMMYFUNCTION("IMPORTRANGE(""https://docs.google.com/spreadsheets/d/1IYY_tgx_IHuhSq3AJ5eI5OnqOPBNLWSHKh2a30DoXe8/edit?usp=sharing"",""สุราษฎร์ธานี!J307"")"),0)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IFERROR(__xludf.DUMMYFUNCTION("IMPORTRANGE(""https://docs.google.com/spreadsheets/d/1IYY_tgx_IHuhSq3AJ5eI5OnqOPBNLWSHKh2a30DoXe8/edit?usp=sharing"",""สุราษฎร์ธานี!J308"")"),1)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IFERROR(__xludf.DUMMYFUNCTION("IMPORTRANGE(""https://docs.google.com/spreadsheets/d/1IYY_tgx_IHuhSq3AJ5eI5OnqOPBNLWSHKh2a30DoXe8/edit?usp=sharing"",""สุราษฎร์ธานี!J309"")"),1)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IFERROR(__xludf.DUMMYFUNCTION("IMPORTRANGE(""https://docs.google.com/spreadsheets/d/1IYY_tgx_IHuhSq3AJ5eI5OnqOPBNLWSHKh2a30DoXe8/edit?usp=sharing"",""สุราษฎร์ธานี!J310"")"),1)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IFERROR(__xludf.DUMMYFUNCTION("IMPORTRANGE(""https://docs.google.com/spreadsheets/d/1IYY_tgx_IHuhSq3AJ5eI5OnqOPBNLWSHKh2a30DoXe8/edit?usp=sharing"",""สุราษฎร์ธานี!I311"")"),25)</f>
        <v>25</v>
      </c>
      <c r="J416" s="207">
        <f ca="1">IFERROR(__xludf.DUMMYFUNCTION("IMPORTRANGE(""https://docs.google.com/spreadsheets/d/1IYY_tgx_IHuhSq3AJ5eI5OnqOPBNLWSHKh2a30DoXe8/edit?usp=sharing"",""สุราษฎร์ธานี!J311"")"),25)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IFERROR(__xludf.DUMMYFUNCTION("IMPORTRANGE(""https://docs.google.com/spreadsheets/d/1IYY_tgx_IHuhSq3AJ5eI5OnqOPBNLWSHKh2a30DoXe8/edit?usp=sharing"",""สุราษฎร์ธานี!J328"")"),0)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IFERROR(__xludf.DUMMYFUNCTION("IMPORTRANGE(""https://docs.google.com/spreadsheets/d/1IYY_tgx_IHuhSq3AJ5eI5OnqOPBNLWSHKh2a30DoXe8/edit?usp=sharing"",""สุราษฎร์ธานี!J329"")"),0)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IFERROR(__xludf.DUMMYFUNCTION("IMPORTRANGE(""https://docs.google.com/spreadsheets/d/1IYY_tgx_IHuhSq3AJ5eI5OnqOPBNLWSHKh2a30DoXe8/edit?usp=sharing"",""สุราษฎร์ธานี!M330"")"),82980)</f>
        <v>82980</v>
      </c>
      <c r="O435" s="418">
        <f t="shared" ref="O435:O439" ca="1" si="114">+IF(L435&gt;0,N435*100/L435,0)</f>
        <v>82.98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IFERROR(__xludf.DUMMYFUNCTION("IMPORTRANGE(""https://docs.google.com/spreadsheets/d/1IYY_tgx_IHuhSq3AJ5eI5OnqOPBNLWSHKh2a30DoXe8/edit?usp=sharing"",""สุราษฎร์ธานี!L331"")"),0)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IFERROR(__xludf.DUMMYFUNCTION("IMPORTRANGE(""https://docs.google.com/spreadsheets/d/1IYY_tgx_IHuhSq3AJ5eI5OnqOPBNLWSHKh2a30DoXe8/edit?usp=sharing"",""สุราษฎร์ธานี!M331"")"),0)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69"/>
      <c r="N437" s="175">
        <f ca="1">IFERROR(__xludf.DUMMYFUNCTION("IMPORTRANGE(""https://docs.google.com/spreadsheets/d/1IYY_tgx_IHuhSq3AJ5eI5OnqOPBNLWSHKh2a30DoXe8/edit?usp=sharing"",""สุราษฎร์ธานี!M332"")"),82980)</f>
        <v>82980</v>
      </c>
      <c r="O437" s="175">
        <f t="shared" ca="1" si="114"/>
        <v>82.98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IFERROR(__xludf.DUMMYFUNCTION("IMPORTRANGE(""https://docs.google.com/spreadsheets/d/1IYY_tgx_IHuhSq3AJ5eI5OnqOPBNLWSHKh2a30DoXe8/edit?usp=sharing"",""สุราษฎร์ธานี!L333"")"),0)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IFERROR(__xludf.DUMMYFUNCTION("IMPORTRANGE(""https://docs.google.com/spreadsheets/d/1IYY_tgx_IHuhSq3AJ5eI5OnqOPBNLWSHKh2a30DoXe8/edit?usp=sharing"",""สุราษฎร์ธานี!M333"")"),0)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5"/>
      <c r="N439" s="175">
        <f ca="1">IFERROR(__xludf.DUMMYFUNCTION("IMPORTRANGE(""https://docs.google.com/spreadsheets/d/1IYY_tgx_IHuhSq3AJ5eI5OnqOPBNLWSHKh2a30DoXe8/edit?usp=sharing"",""สุราษฎร์ธานี!M334"")"),82980)</f>
        <v>82980</v>
      </c>
      <c r="O439" s="175">
        <f t="shared" ca="1" si="114"/>
        <v>82.98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IFERROR(__xludf.DUMMYFUNCTION("IMPORTRANGE(""https://docs.google.com/spreadsheets/d/1IYY_tgx_IHuhSq3AJ5eI5OnqOPBNLWSHKh2a30DoXe8/edit?usp=sharing"",""สุราษฎร์ธานี!M338"")"),33780)</f>
        <v>33780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IFERROR(__xludf.DUMMYFUNCTION("IMPORTRANGE(""https://docs.google.com/spreadsheets/d/1IYY_tgx_IHuhSq3AJ5eI5OnqOPBNLWSHKh2a30DoXe8/edit?usp=sharing"",""สุราษฎร์ธานี!J340"")"),0)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IFERROR(__xludf.DUMMYFUNCTION("IMPORTRANGE(""https://docs.google.com/spreadsheets/d/1IYY_tgx_IHuhSq3AJ5eI5OnqOPBNLWSHKh2a30DoXe8/edit?usp=sharing"",""สุราษฎร์ธานี!J341"")"),1)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IFERROR(__xludf.DUMMYFUNCTION("IMPORTRANGE(""https://docs.google.com/spreadsheets/d/1IYY_tgx_IHuhSq3AJ5eI5OnqOPBNLWSHKh2a30DoXe8/edit?usp=sharing"",""สุราษฎร์ธานี!J342"")"),1)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IFERROR(__xludf.DUMMYFUNCTION("IMPORTRANGE(""https://docs.google.com/spreadsheets/d/1IYY_tgx_IHuhSq3AJ5eI5OnqOPBNLWSHKh2a30DoXe8/edit?usp=sharing"",""สุราษฎร์ธานี!J343"")"),1)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7">
        <f ca="1">IFERROR(__xludf.DUMMYFUNCTION("IMPORTRANGE(""https://docs.google.com/spreadsheets/d/1IYY_tgx_IHuhSq3AJ5eI5OnqOPBNLWSHKh2a30DoXe8/edit?usp=sharing"",""สุราษฎร์ธานี!J344"")"),20)</f>
        <v>20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5">
        <f ca="1">IFERROR(__xludf.DUMMYFUNCTION("IMPORTRANGE(""https://docs.google.com/spreadsheets/d/1IYY_tgx_IHuhSq3AJ5eI5OnqOPBNLWSHKh2a30DoXe8/edit?usp=sharing"",""สุราษฎร์ธานี!J345"")"),20)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4">
        <f ca="1">IFERROR(__xludf.DUMMYFUNCTION("IMPORTRANGE(""https://docs.google.com/spreadsheets/d/1IYY_tgx_IHuhSq3AJ5eI5OnqOPBNLWSHKh2a30DoXe8/edit?usp=sharing"",""สุราษฎร์ธานี!J346"")"),0)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IFERROR(__xludf.DUMMYFUNCTION("IMPORTRANGE(""https://docs.google.com/spreadsheets/d/1IYY_tgx_IHuhSq3AJ5eI5OnqOPBNLWSHKh2a30DoXe8/edit?usp=sharing"",""สุราษฎร์ธานี!I347"")"),0)</f>
        <v>0</v>
      </c>
      <c r="J452" s="194">
        <f ca="1">IFERROR(__xludf.DUMMYFUNCTION("IMPORTRANGE(""https://docs.google.com/spreadsheets/d/1IYY_tgx_IHuhSq3AJ5eI5OnqOPBNLWSHKh2a30DoXe8/edit?usp=sharing"",""สุราษฎร์ธานี!J347"")"),0)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IFERROR(__xludf.DUMMYFUNCTION("IMPORTRANGE(""https://docs.google.com/spreadsheets/d/1IYY_tgx_IHuhSq3AJ5eI5OnqOPBNLWSHKh2a30DoXe8/edit?usp=sharing"",""สุราษฎร์ธานี!J348"")"),0)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IFERROR(__xludf.DUMMYFUNCTION("IMPORTRANGE(""https://docs.google.com/spreadsheets/d/1IYY_tgx_IHuhSq3AJ5eI5OnqOPBNLWSHKh2a30DoXe8/edit?usp=sharing"",""สุราษฎร์ธานี!J349"")"),0)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IFERROR(__xludf.DUMMYFUNCTION("IMPORTRANGE(""https://docs.google.com/spreadsheets/d/1IYY_tgx_IHuhSq3AJ5eI5OnqOPBNLWSHKh2a30DoXe8/edit?usp=sharing"",""สุราษฎร์ธานี!L350"")"),1026698)</f>
        <v>1026698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IFERROR(__xludf.DUMMYFUNCTION("IMPORTRANGE(""https://docs.google.com/spreadsheets/d/1IYY_tgx_IHuhSq3AJ5eI5OnqOPBNLWSHKh2a30DoXe8/edit?usp=sharing"",""สุราษฎร์ธานี!M350"")"),221269.38)</f>
        <v>221269.38</v>
      </c>
      <c r="O455" s="379">
        <f t="shared" ref="O455:O459" ca="1" si="116">+IF(L455&gt;0,N455*100/L455,0)</f>
        <v>21.551554595411698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IFERROR(__xludf.DUMMYFUNCTION("IMPORTRANGE(""https://docs.google.com/spreadsheets/d/1IYY_tgx_IHuhSq3AJ5eI5OnqOPBNLWSHKh2a30DoXe8/edit?usp=sharing"",""สุราษฎร์ธานี!L351"")"),0)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IFERROR(__xludf.DUMMYFUNCTION("IMPORTRANGE(""https://docs.google.com/spreadsheets/d/1IYY_tgx_IHuhSq3AJ5eI5OnqOPBNLWSHKh2a30DoXe8/edit?usp=sharing"",""สุราษฎร์ธานี!M351"")"),0)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IFERROR(__xludf.DUMMYFUNCTION("IMPORTRANGE(""https://docs.google.com/spreadsheets/d/1IYY_tgx_IHuhSq3AJ5eI5OnqOPBNLWSHKh2a30DoXe8/edit?usp=sharing"",""สุราษฎร์ธานี!L352"")"),1026698)</f>
        <v>1026698</v>
      </c>
      <c r="M457" s="169"/>
      <c r="N457" s="175">
        <f ca="1">IFERROR(__xludf.DUMMYFUNCTION("IMPORTRANGE(""https://docs.google.com/spreadsheets/d/1IYY_tgx_IHuhSq3AJ5eI5OnqOPBNLWSHKh2a30DoXe8/edit?usp=sharing"",""สุราษฎร์ธานี!M352"")"),221269.38)</f>
        <v>221269.38</v>
      </c>
      <c r="O457" s="175">
        <f t="shared" ca="1" si="116"/>
        <v>21.551554595411698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IFERROR(__xludf.DUMMYFUNCTION("IMPORTRANGE(""https://docs.google.com/spreadsheets/d/1IYY_tgx_IHuhSq3AJ5eI5OnqOPBNLWSHKh2a30DoXe8/edit?usp=sharing"",""สุราษฎร์ธานี!L353"")"),0)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IFERROR(__xludf.DUMMYFUNCTION("IMPORTRANGE(""https://docs.google.com/spreadsheets/d/1IYY_tgx_IHuhSq3AJ5eI5OnqOPBNLWSHKh2a30DoXe8/edit?usp=sharing"",""สุราษฎร์ธานี!M353"")"),0)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IFERROR(__xludf.DUMMYFUNCTION("IMPORTRANGE(""https://docs.google.com/spreadsheets/d/1IYY_tgx_IHuhSq3AJ5eI5OnqOPBNLWSHKh2a30DoXe8/edit?usp=sharing"",""สุราษฎร์ธานี!L354"")"),1026698)</f>
        <v>1026698</v>
      </c>
      <c r="M459" s="175"/>
      <c r="N459" s="175">
        <f ca="1">IFERROR(__xludf.DUMMYFUNCTION("IMPORTRANGE(""https://docs.google.com/spreadsheets/d/1IYY_tgx_IHuhSq3AJ5eI5OnqOPBNLWSHKh2a30DoXe8/edit?usp=sharing"",""สุราษฎร์ธานี!M354"")"),221269.38)</f>
        <v>221269.38</v>
      </c>
      <c r="O459" s="175">
        <f t="shared" ca="1" si="116"/>
        <v>21.551554595411698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IFERROR(__xludf.DUMMYFUNCTION("IMPORTRANGE(""https://docs.google.com/spreadsheets/d/1IYY_tgx_IHuhSq3AJ5eI5OnqOPBNLWSHKh2a30DoXe8/edit?usp=sharing"",""สุราษฎร์ธานี!M355"")"),0)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IFERROR(__xludf.DUMMYFUNCTION("IMPORTRANGE(""https://docs.google.com/spreadsheets/d/1IYY_tgx_IHuhSq3AJ5eI5OnqOPBNLWSHKh2a30DoXe8/edit?usp=sharing"",""สุราษฎร์ธานี!M356"")"),0)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IFERROR(__xludf.DUMMYFUNCTION("IMPORTRANGE(""https://docs.google.com/spreadsheets/d/1IYY_tgx_IHuhSq3AJ5eI5OnqOPBNLWSHKh2a30DoXe8/edit?usp=sharing"",""สุราษฎร์ธานี!M357"")"),110541.99)</f>
        <v>110541.99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IFERROR(__xludf.DUMMYFUNCTION("IMPORTRANGE(""https://docs.google.com/spreadsheets/d/1IYY_tgx_IHuhSq3AJ5eI5OnqOPBNLWSHKh2a30DoXe8/edit?usp=sharing"",""สุราษฎร์ธานี!M358"")"),110727.39)</f>
        <v>110727.39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3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IFERROR(__xludf.DUMMYFUNCTION("IMPORTRANGE(""https://docs.google.com/spreadsheets/d/1IYY_tgx_IHuhSq3AJ5eI5OnqOPBNLWSHKh2a30DoXe8/edit?usp=sharing"",""สุราษฎร์ธานี!I362"")"),0)</f>
        <v>0</v>
      </c>
      <c r="J467" s="195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IFERROR(__xludf.DUMMYFUNCTION("IMPORTRANGE(""https://docs.google.com/spreadsheets/d/1IYY_tgx_IHuhSq3AJ5eI5OnqOPBNLWSHKh2a30DoXe8/edit?usp=sharing"",""สุราษฎร์ธานี!I363"")"),0)</f>
        <v>0</v>
      </c>
      <c r="J468" s="195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IFERROR(__xludf.DUMMYFUNCTION("IMPORTRANGE(""https://docs.google.com/spreadsheets/d/1IYY_tgx_IHuhSq3AJ5eI5OnqOPBNLWSHKh2a30DoXe8/edit?usp=sharing"",""สุราษฎร์ธานี!I364"")"),0)</f>
        <v>0</v>
      </c>
      <c r="J469" s="195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IFERROR(__xludf.DUMMYFUNCTION("IMPORTRANGE(""https://docs.google.com/spreadsheets/d/1IYY_tgx_IHuhSq3AJ5eI5OnqOPBNLWSHKh2a30DoXe8/edit?usp=sharing"",""สุราษฎร์ธานี!I365"")"),0)</f>
        <v>0</v>
      </c>
      <c r="J470" s="195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IFERROR(__xludf.DUMMYFUNCTION("IMPORTRANGE(""https://docs.google.com/spreadsheets/d/1IYY_tgx_IHuhSq3AJ5eI5OnqOPBNLWSHKh2a30DoXe8/edit?usp=sharing"",""สุราษฎร์ธานี!I366"")"),0)</f>
        <v>0</v>
      </c>
      <c r="J471" s="195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IFERROR(__xludf.DUMMYFUNCTION("IMPORTRANGE(""https://docs.google.com/spreadsheets/d/1IYY_tgx_IHuhSq3AJ5eI5OnqOPBNLWSHKh2a30DoXe8/edit?usp=sharing"",""สุราษฎร์ธานี!I367"")"),0)</f>
        <v>0</v>
      </c>
      <c r="J472" s="195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IFERROR(__xludf.DUMMYFUNCTION("IMPORTRANGE(""https://docs.google.com/spreadsheets/d/1IYY_tgx_IHuhSq3AJ5eI5OnqOPBNLWSHKh2a30DoXe8/edit?usp=sharing"",""สุราษฎร์ธานี!I370"")"),0)</f>
        <v>0</v>
      </c>
      <c r="J475" s="195">
        <f ca="1">IFERROR(__xludf.DUMMYFUNCTION("IMPORTRANGE(""https://docs.google.com/spreadsheets/d/1IYY_tgx_IHuhSq3AJ5eI5OnqOPBNLWSHKh2a30DoXe8/edit?usp=sharing"",""สุราษฎร์ธานี!J370"")"),147099)</f>
        <v>147099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IFERROR(__xludf.DUMMYFUNCTION("IMPORTRANGE(""https://docs.google.com/spreadsheets/d/1IYY_tgx_IHuhSq3AJ5eI5OnqOPBNLWSHKh2a30DoXe8/edit?usp=sharing"",""สุราษฎร์ธานี!I371"")"),0)</f>
        <v>0</v>
      </c>
      <c r="J476" s="195">
        <f ca="1">IFERROR(__xludf.DUMMYFUNCTION("IMPORTRANGE(""https://docs.google.com/spreadsheets/d/1IYY_tgx_IHuhSq3AJ5eI5OnqOPBNLWSHKh2a30DoXe8/edit?usp=sharing"",""สุราษฎร์ธานี!J371"")"),11433)</f>
        <v>11433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IFERROR(__xludf.DUMMYFUNCTION("IMPORTRANGE(""https://docs.google.com/spreadsheets/d/1IYY_tgx_IHuhSq3AJ5eI5OnqOPBNLWSHKh2a30DoXe8/edit?usp=sharing"",""สุราษฎร์ธานี!I372"")"),0)</f>
        <v>0</v>
      </c>
      <c r="J477" s="195">
        <f ca="1">IFERROR(__xludf.DUMMYFUNCTION("IMPORTRANGE(""https://docs.google.com/spreadsheets/d/1IYY_tgx_IHuhSq3AJ5eI5OnqOPBNLWSHKh2a30DoXe8/edit?usp=sharing"",""สุราษฎร์ธานี!J372"")"),3241)</f>
        <v>3241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IFERROR(__xludf.DUMMYFUNCTION("IMPORTRANGE(""https://docs.google.com/spreadsheets/d/1IYY_tgx_IHuhSq3AJ5eI5OnqOPBNLWSHKh2a30DoXe8/edit?usp=sharing"",""สุราษฎร์ธานี!I373"")"),0)</f>
        <v>0</v>
      </c>
      <c r="J478" s="195">
        <f ca="1">IFERROR(__xludf.DUMMYFUNCTION("IMPORTRANGE(""https://docs.google.com/spreadsheets/d/1IYY_tgx_IHuhSq3AJ5eI5OnqOPBNLWSHKh2a30DoXe8/edit?usp=sharing"",""สุราษฎร์ธานี!J373"")"),311)</f>
        <v>311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IFERROR(__xludf.DUMMYFUNCTION("IMPORTRANGE(""https://docs.google.com/spreadsheets/d/1IYY_tgx_IHuhSq3AJ5eI5OnqOPBNLWSHKh2a30DoXe8/edit?usp=sharing"",""สุราษฎร์ธานี!I374"")"),0)</f>
        <v>0</v>
      </c>
      <c r="J479" s="195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IFERROR(__xludf.DUMMYFUNCTION("IMPORTRANGE(""https://docs.google.com/spreadsheets/d/1IYY_tgx_IHuhSq3AJ5eI5OnqOPBNLWSHKh2a30DoXe8/edit?usp=sharing"",""สุราษฎร์ธานี!I375"")"),0)</f>
        <v>0</v>
      </c>
      <c r="J480" s="195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IFERROR(__xludf.DUMMYFUNCTION("IMPORTRANGE(""https://docs.google.com/spreadsheets/d/1IYY_tgx_IHuhSq3AJ5eI5OnqOPBNLWSHKh2a30DoXe8/edit?usp=sharing"",""สุราษฎร์ธานี!I378"")"),0)</f>
        <v>0</v>
      </c>
      <c r="J483" s="195">
        <f ca="1">IFERROR(__xludf.DUMMYFUNCTION("IMPORTRANGE(""https://docs.google.com/spreadsheets/d/1IYY_tgx_IHuhSq3AJ5eI5OnqOPBNLWSHKh2a30DoXe8/edit?usp=sharing"",""สุราษฎร์ธานี!J378"")"),125062)</f>
        <v>125062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IFERROR(__xludf.DUMMYFUNCTION("IMPORTRANGE(""https://docs.google.com/spreadsheets/d/1IYY_tgx_IHuhSq3AJ5eI5OnqOPBNLWSHKh2a30DoXe8/edit?usp=sharing"",""สุราษฎร์ธานี!I379"")"),0)</f>
        <v>0</v>
      </c>
      <c r="J484" s="195">
        <f ca="1">IFERROR(__xludf.DUMMYFUNCTION("IMPORTRANGE(""https://docs.google.com/spreadsheets/d/1IYY_tgx_IHuhSq3AJ5eI5OnqOPBNLWSHKh2a30DoXe8/edit?usp=sharing"",""สุราษฎร์ธานี!J379"")"),10038)</f>
        <v>10038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IFERROR(__xludf.DUMMYFUNCTION("IMPORTRANGE(""https://docs.google.com/spreadsheets/d/1IYY_tgx_IHuhSq3AJ5eI5OnqOPBNLWSHKh2a30DoXe8/edit?usp=sharing"",""สุราษฎร์ธานี!I380"")"),0)</f>
        <v>0</v>
      </c>
      <c r="J485" s="195">
        <f ca="1">IFERROR(__xludf.DUMMYFUNCTION("IMPORTRANGE(""https://docs.google.com/spreadsheets/d/1IYY_tgx_IHuhSq3AJ5eI5OnqOPBNLWSHKh2a30DoXe8/edit?usp=sharing"",""สุราษฎร์ธานี!J380"")"),25278)</f>
        <v>25278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IFERROR(__xludf.DUMMYFUNCTION("IMPORTRANGE(""https://docs.google.com/spreadsheets/d/1IYY_tgx_IHuhSq3AJ5eI5OnqOPBNLWSHKh2a30DoXe8/edit?usp=sharing"",""สุราษฎร์ธานี!I381"")"),0)</f>
        <v>0</v>
      </c>
      <c r="J486" s="195">
        <f ca="1">IFERROR(__xludf.DUMMYFUNCTION("IMPORTRANGE(""https://docs.google.com/spreadsheets/d/1IYY_tgx_IHuhSq3AJ5eI5OnqOPBNLWSHKh2a30DoXe8/edit?usp=sharing"",""สุราษฎร์ธานี!J381"")"),1706)</f>
        <v>1706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IFERROR(__xludf.DUMMYFUNCTION("IMPORTRANGE(""https://docs.google.com/spreadsheets/d/1IYY_tgx_IHuhSq3AJ5eI5OnqOPBNLWSHKh2a30DoXe8/edit?usp=sharing"",""สุราษฎร์ธานี!J382"")"),1392)</f>
        <v>1392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IFERROR(__xludf.DUMMYFUNCTION("IMPORTRANGE(""https://docs.google.com/spreadsheets/d/1IYY_tgx_IHuhSq3AJ5eI5OnqOPBNLWSHKh2a30DoXe8/edit?usp=sharing"",""สุราษฎร์ธานี!J383"")"),116)</f>
        <v>116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IFERROR(__xludf.DUMMYFUNCTION("IMPORTRANGE(""https://docs.google.com/spreadsheets/d/1IYY_tgx_IHuhSq3AJ5eI5OnqOPBNLWSHKh2a30DoXe8/edit?usp=sharing"",""สุราษฎร์ธานี!I384"")"),0)</f>
        <v>0</v>
      </c>
      <c r="J489" s="195">
        <f ca="1">IFERROR(__xludf.DUMMYFUNCTION("IMPORTRANGE(""https://docs.google.com/spreadsheets/d/1IYY_tgx_IHuhSq3AJ5eI5OnqOPBNLWSHKh2a30DoXe8/edit?usp=sharing"",""สุราษฎร์ธานี!J384"")"),1339)</f>
        <v>1339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IFERROR(__xludf.DUMMYFUNCTION("IMPORTRANGE(""https://docs.google.com/spreadsheets/d/1IYY_tgx_IHuhSq3AJ5eI5OnqOPBNLWSHKh2a30DoXe8/edit?usp=sharing"",""สุราษฎร์ธานี!I385"")"),0)</f>
        <v>0</v>
      </c>
      <c r="J490" s="195">
        <f ca="1">IFERROR(__xludf.DUMMYFUNCTION("IMPORTRANGE(""https://docs.google.com/spreadsheets/d/1IYY_tgx_IHuhSq3AJ5eI5OnqOPBNLWSHKh2a30DoXe8/edit?usp=sharing"",""สุราษฎร์ธานี!J385"")"),111)</f>
        <v>111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IFERROR(__xludf.DUMMYFUNCTION("IMPORTRANGE(""https://docs.google.com/spreadsheets/d/1IYY_tgx_IHuhSq3AJ5eI5OnqOPBNLWSHKh2a30DoXe8/edit?usp=sharing"",""สุราษฎร์ธานี!I386"")"),0)</f>
        <v>0</v>
      </c>
      <c r="J491" s="195">
        <f ca="1">IFERROR(__xludf.DUMMYFUNCTION("IMPORTRANGE(""https://docs.google.com/spreadsheets/d/1IYY_tgx_IHuhSq3AJ5eI5OnqOPBNLWSHKh2a30DoXe8/edit?usp=sharing"",""สุราษฎร์ธานี!J386"")"),53)</f>
        <v>53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IFERROR(__xludf.DUMMYFUNCTION("IMPORTRANGE(""https://docs.google.com/spreadsheets/d/1IYY_tgx_IHuhSq3AJ5eI5OnqOPBNLWSHKh2a30DoXe8/edit?usp=sharing"",""สุราษฎร์ธานี!I387"")"),0)</f>
        <v>0</v>
      </c>
      <c r="J492" s="195">
        <f ca="1">IFERROR(__xludf.DUMMYFUNCTION("IMPORTRANGE(""https://docs.google.com/spreadsheets/d/1IYY_tgx_IHuhSq3AJ5eI5OnqOPBNLWSHKh2a30DoXe8/edit?usp=sharing"",""สุราษฎร์ธานี!J387"")"),5)</f>
        <v>5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IFERROR(__xludf.DUMMYFUNCTION("IMPORTRANGE(""https://docs.google.com/spreadsheets/d/1IYY_tgx_IHuhSq3AJ5eI5OnqOPBNLWSHKh2a30DoXe8/edit?usp=sharing"",""สุราษฎร์ธานี!I388"")"),0)</f>
        <v>0</v>
      </c>
      <c r="J493" s="195">
        <f ca="1">IFERROR(__xludf.DUMMYFUNCTION("IMPORTRANGE(""https://docs.google.com/spreadsheets/d/1IYY_tgx_IHuhSq3AJ5eI5OnqOPBNLWSHKh2a30DoXe8/edit?usp=sharing"",""สุราษฎร์ธานี!J388"")"),0)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IFERROR(__xludf.DUMMYFUNCTION("IMPORTRANGE(""https://docs.google.com/spreadsheets/d/1IYY_tgx_IHuhSq3AJ5eI5OnqOPBNLWSHKh2a30DoXe8/edit?usp=sharing"",""สุราษฎร์ธานี!J392"")"),275)</f>
        <v>275</v>
      </c>
      <c r="K497" s="450">
        <f t="shared" ca="1" si="117"/>
        <v>4.4491182656528068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IFERROR(__xludf.DUMMYFUNCTION("IMPORTRANGE(""https://docs.google.com/spreadsheets/d/1IYY_tgx_IHuhSq3AJ5eI5OnqOPBNLWSHKh2a30DoXe8/edit?usp=sharing"",""สุราษฎร์ธานี!J393"")"),275)</f>
        <v>275</v>
      </c>
      <c r="K498" s="208">
        <f t="shared" ca="1" si="117"/>
        <v>4.4491182656528068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IFERROR(__xludf.DUMMYFUNCTION("IMPORTRANGE(""https://docs.google.com/spreadsheets/d/1IYY_tgx_IHuhSq3AJ5eI5OnqOPBNLWSHKh2a30DoXe8/edit?usp=sharing"",""สุราษฎร์ธานี!J394"")"),18)</f>
        <v>18</v>
      </c>
      <c r="K499" s="208">
        <f t="shared" ca="1" si="117"/>
        <v>3.8626609442060085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IFERROR(__xludf.DUMMYFUNCTION("IMPORTRANGE(""https://docs.google.com/spreadsheets/d/1IYY_tgx_IHuhSq3AJ5eI5OnqOPBNLWSHKh2a30DoXe8/edit?usp=sharing"",""สุราษฎร์ธานี!I395"")"),0)</f>
        <v>0</v>
      </c>
      <c r="J500" s="166">
        <f ca="1">IFERROR(__xludf.DUMMYFUNCTION("IMPORTRANGE(""https://docs.google.com/spreadsheets/d/1IYY_tgx_IHuhSq3AJ5eI5OnqOPBNLWSHKh2a30DoXe8/edit?usp=sharing"",""สุราษฎร์ธานี!J395"")"),275)</f>
        <v>275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IFERROR(__xludf.DUMMYFUNCTION("IMPORTRANGE(""https://docs.google.com/spreadsheets/d/1IYY_tgx_IHuhSq3AJ5eI5OnqOPBNLWSHKh2a30DoXe8/edit?usp=sharing"",""สุราษฎร์ธานี!I396"")"),0)</f>
        <v>0</v>
      </c>
      <c r="J501" s="166">
        <f ca="1">IFERROR(__xludf.DUMMYFUNCTION("IMPORTRANGE(""https://docs.google.com/spreadsheets/d/1IYY_tgx_IHuhSq3AJ5eI5OnqOPBNLWSHKh2a30DoXe8/edit?usp=sharing"",""สุราษฎร์ธานี!J396"")"),18)</f>
        <v>18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IFERROR(__xludf.DUMMYFUNCTION("IMPORTRANGE(""https://docs.google.com/spreadsheets/d/1IYY_tgx_IHuhSq3AJ5eI5OnqOPBNLWSHKh2a30DoXe8/edit?usp=sharing"",""สุราษฎร์ธานี!I397"")"),0)</f>
        <v>0</v>
      </c>
      <c r="J502" s="195">
        <f ca="1">IFERROR(__xludf.DUMMYFUNCTION("IMPORTRANGE(""https://docs.google.com/spreadsheets/d/1IYY_tgx_IHuhSq3AJ5eI5OnqOPBNLWSHKh2a30DoXe8/edit?usp=sharing"",""สุราษฎร์ธานี!J397"")"),275)</f>
        <v>275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IFERROR(__xludf.DUMMYFUNCTION("IMPORTRANGE(""https://docs.google.com/spreadsheets/d/1IYY_tgx_IHuhSq3AJ5eI5OnqOPBNLWSHKh2a30DoXe8/edit?usp=sharing"",""สุราษฎร์ธานี!I398"")"),0)</f>
        <v>0</v>
      </c>
      <c r="J503" s="204">
        <f ca="1">IFERROR(__xludf.DUMMYFUNCTION("IMPORTRANGE(""https://docs.google.com/spreadsheets/d/1IYY_tgx_IHuhSq3AJ5eI5OnqOPBNLWSHKh2a30DoXe8/edit?usp=sharing"",""สุราษฎร์ธานี!J398"")"),18)</f>
        <v>18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IFERROR(__xludf.DUMMYFUNCTION("IMPORTRANGE(""https://docs.google.com/spreadsheets/d/1IYY_tgx_IHuhSq3AJ5eI5OnqOPBNLWSHKh2a30DoXe8/edit?usp=sharing"",""สุราษฎร์ธานี!I399"")"),0)</f>
        <v>0</v>
      </c>
      <c r="J504" s="195">
        <f ca="1">IFERROR(__xludf.DUMMYFUNCTION("IMPORTRANGE(""https://docs.google.com/spreadsheets/d/1IYY_tgx_IHuhSq3AJ5eI5OnqOPBNLWSHKh2a30DoXe8/edit?usp=sharing"",""สุราษฎร์ธานี!J399"")"),0)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IFERROR(__xludf.DUMMYFUNCTION("IMPORTRANGE(""https://docs.google.com/spreadsheets/d/1IYY_tgx_IHuhSq3AJ5eI5OnqOPBNLWSHKh2a30DoXe8/edit?usp=sharing"",""สุราษฎร์ธานี!I400"")"),0)</f>
        <v>0</v>
      </c>
      <c r="J505" s="204">
        <f ca="1">IFERROR(__xludf.DUMMYFUNCTION("IMPORTRANGE(""https://docs.google.com/spreadsheets/d/1IYY_tgx_IHuhSq3AJ5eI5OnqOPBNLWSHKh2a30DoXe8/edit?usp=sharing"",""สุราษฎร์ธานี!J400"")"),0)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IFERROR(__xludf.DUMMYFUNCTION("IMPORTRANGE(""https://docs.google.com/spreadsheets/d/1IYY_tgx_IHuhSq3AJ5eI5OnqOPBNLWSHKh2a30DoXe8/edit?usp=sharing"",""สุราษฎร์ธานี!I401"")"),0)</f>
        <v>0</v>
      </c>
      <c r="J506" s="195">
        <f ca="1">IFERROR(__xludf.DUMMYFUNCTION("IMPORTRANGE(""https://docs.google.com/spreadsheets/d/1IYY_tgx_IHuhSq3AJ5eI5OnqOPBNLWSHKh2a30DoXe8/edit?usp=sharing"",""สุราษฎร์ธานี!J401"")"),0)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IFERROR(__xludf.DUMMYFUNCTION("IMPORTRANGE(""https://docs.google.com/spreadsheets/d/1IYY_tgx_IHuhSq3AJ5eI5OnqOPBNLWSHKh2a30DoXe8/edit?usp=sharing"",""สุราษฎร์ธานี!I402"")"),0)</f>
        <v>0</v>
      </c>
      <c r="J507" s="204">
        <f ca="1">IFERROR(__xludf.DUMMYFUNCTION("IMPORTRANGE(""https://docs.google.com/spreadsheets/d/1IYY_tgx_IHuhSq3AJ5eI5OnqOPBNLWSHKh2a30DoXe8/edit?usp=sharing"",""สุราษฎร์ธานี!J402"")"),0)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IFERROR(__xludf.DUMMYFUNCTION("IMPORTRANGE(""https://docs.google.com/spreadsheets/d/1IYY_tgx_IHuhSq3AJ5eI5OnqOPBNLWSHKh2a30DoXe8/edit?usp=sharing"",""สุราษฎร์ธานี!I403"")"),0)</f>
        <v>0</v>
      </c>
      <c r="J508" s="166">
        <f ca="1">IFERROR(__xludf.DUMMYFUNCTION("IMPORTRANGE(""https://docs.google.com/spreadsheets/d/1IYY_tgx_IHuhSq3AJ5eI5OnqOPBNLWSHKh2a30DoXe8/edit?usp=sharing"",""สุราษฎร์ธานี!J403"")"),0)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IFERROR(__xludf.DUMMYFUNCTION("IMPORTRANGE(""https://docs.google.com/spreadsheets/d/1IYY_tgx_IHuhSq3AJ5eI5OnqOPBNLWSHKh2a30DoXe8/edit?usp=sharing"",""สุราษฎร์ธานี!I404"")"),0)</f>
        <v>0</v>
      </c>
      <c r="J509" s="166">
        <f ca="1">IFERROR(__xludf.DUMMYFUNCTION("IMPORTRANGE(""https://docs.google.com/spreadsheets/d/1IYY_tgx_IHuhSq3AJ5eI5OnqOPBNLWSHKh2a30DoXe8/edit?usp=sharing"",""สุราษฎร์ธานี!J404"")"),0)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IFERROR(__xludf.DUMMYFUNCTION("IMPORTRANGE(""https://docs.google.com/spreadsheets/d/1IYY_tgx_IHuhSq3AJ5eI5OnqOPBNLWSHKh2a30DoXe8/edit?usp=sharing"",""สุราษฎร์ธานี!I405"")"),0)</f>
        <v>0</v>
      </c>
      <c r="J510" s="204">
        <f ca="1">IFERROR(__xludf.DUMMYFUNCTION("IMPORTRANGE(""https://docs.google.com/spreadsheets/d/1IYY_tgx_IHuhSq3AJ5eI5OnqOPBNLWSHKh2a30DoXe8/edit?usp=sharing"",""สุราษฎร์ธานี!J405"")"),0)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IFERROR(__xludf.DUMMYFUNCTION("IMPORTRANGE(""https://docs.google.com/spreadsheets/d/1IYY_tgx_IHuhSq3AJ5eI5OnqOPBNLWSHKh2a30DoXe8/edit?usp=sharing"",""สุราษฎร์ธานี!I406"")"),0)</f>
        <v>0</v>
      </c>
      <c r="J511" s="204">
        <f ca="1">IFERROR(__xludf.DUMMYFUNCTION("IMPORTRANGE(""https://docs.google.com/spreadsheets/d/1IYY_tgx_IHuhSq3AJ5eI5OnqOPBNLWSHKh2a30DoXe8/edit?usp=sharing"",""สุราษฎร์ธานี!J406"")"),0)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IFERROR(__xludf.DUMMYFUNCTION("IMPORTRANGE(""https://docs.google.com/spreadsheets/d/1IYY_tgx_IHuhSq3AJ5eI5OnqOPBNLWSHKh2a30DoXe8/edit?usp=sharing"",""สุราษฎร์ธานี!I407"")"),0)</f>
        <v>0</v>
      </c>
      <c r="J512" s="204">
        <f ca="1">IFERROR(__xludf.DUMMYFUNCTION("IMPORTRANGE(""https://docs.google.com/spreadsheets/d/1IYY_tgx_IHuhSq3AJ5eI5OnqOPBNLWSHKh2a30DoXe8/edit?usp=sharing"",""สุราษฎร์ธานี!J407"")"),0)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IFERROR(__xludf.DUMMYFUNCTION("IMPORTRANGE(""https://docs.google.com/spreadsheets/d/1IYY_tgx_IHuhSq3AJ5eI5OnqOPBNLWSHKh2a30DoXe8/edit?usp=sharing"",""สุราษฎร์ธานี!I408"")"),0)</f>
        <v>0</v>
      </c>
      <c r="J513" s="204">
        <f ca="1">IFERROR(__xludf.DUMMYFUNCTION("IMPORTRANGE(""https://docs.google.com/spreadsheets/d/1IYY_tgx_IHuhSq3AJ5eI5OnqOPBNLWSHKh2a30DoXe8/edit?usp=sharing"",""สุราษฎร์ธานี!J408"")"),0)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IFERROR(__xludf.DUMMYFUNCTION("IMPORTRANGE(""https://docs.google.com/spreadsheets/d/1IYY_tgx_IHuhSq3AJ5eI5OnqOPBNLWSHKh2a30DoXe8/edit?usp=sharing"",""สุราษฎร์ธานี!I409"")"),0)</f>
        <v>0</v>
      </c>
      <c r="J514" s="204">
        <f ca="1">IFERROR(__xludf.DUMMYFUNCTION("IMPORTRANGE(""https://docs.google.com/spreadsheets/d/1IYY_tgx_IHuhSq3AJ5eI5OnqOPBNLWSHKh2a30DoXe8/edit?usp=sharing"",""สุราษฎร์ธานี!J409"")"),0)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IFERROR(__xludf.DUMMYFUNCTION("IMPORTRANGE(""https://docs.google.com/spreadsheets/d/1IYY_tgx_IHuhSq3AJ5eI5OnqOPBNLWSHKh2a30DoXe8/edit?usp=sharing"",""สุราษฎร์ธานี!I410"")"),0)</f>
        <v>0</v>
      </c>
      <c r="J515" s="204">
        <f ca="1">IFERROR(__xludf.DUMMYFUNCTION("IMPORTRANGE(""https://docs.google.com/spreadsheets/d/1IYY_tgx_IHuhSq3AJ5eI5OnqOPBNLWSHKh2a30DoXe8/edit?usp=sharing"",""สุราษฎร์ธานี!J410"")"),0)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IFERROR(__xludf.DUMMYFUNCTION("IMPORTRANGE(""https://docs.google.com/spreadsheets/d/1IYY_tgx_IHuhSq3AJ5eI5OnqOPBNLWSHKh2a30DoXe8/edit?usp=sharing"",""สุราษฎร์ธานี!I411"")"),0)</f>
        <v>0</v>
      </c>
      <c r="J516" s="273">
        <f ca="1">IFERROR(__xludf.DUMMYFUNCTION("IMPORTRANGE(""https://docs.google.com/spreadsheets/d/1IYY_tgx_IHuhSq3AJ5eI5OnqOPBNLWSHKh2a30DoXe8/edit?usp=sharing"",""สุราษฎร์ธานี!J411"")"),0)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IFERROR(__xludf.DUMMYFUNCTION("IMPORTRANGE(""https://docs.google.com/spreadsheets/d/1IYY_tgx_IHuhSq3AJ5eI5OnqOPBNLWSHKh2a30DoXe8/edit?usp=sharing"",""สุราษฎร์ธานี!I414"")"),0)</f>
        <v>0</v>
      </c>
      <c r="J519" s="194">
        <f ca="1">IFERROR(__xludf.DUMMYFUNCTION("IMPORTRANGE(""https://docs.google.com/spreadsheets/d/1IYY_tgx_IHuhSq3AJ5eI5OnqOPBNLWSHKh2a30DoXe8/edit?usp=sharing"",""สุราษฎร์ธานี!J414"")"),0)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IFERROR(__xludf.DUMMYFUNCTION("IMPORTRANGE(""https://docs.google.com/spreadsheets/d/1IYY_tgx_IHuhSq3AJ5eI5OnqOPBNLWSHKh2a30DoXe8/edit?usp=sharing"",""สุราษฎร์ธานี!I415"")"),0)</f>
        <v>0</v>
      </c>
      <c r="J520" s="194">
        <f ca="1">IFERROR(__xludf.DUMMYFUNCTION("IMPORTRANGE(""https://docs.google.com/spreadsheets/d/1IYY_tgx_IHuhSq3AJ5eI5OnqOPBNLWSHKh2a30DoXe8/edit?usp=sharing"",""สุราษฎร์ธานี!J415"")"),0)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IFERROR(__xludf.DUMMYFUNCTION("IMPORTRANGE(""https://docs.google.com/spreadsheets/d/1IYY_tgx_IHuhSq3AJ5eI5OnqOPBNLWSHKh2a30DoXe8/edit?usp=sharing"",""สุราษฎร์ธานี!I416"")"),0)</f>
        <v>0</v>
      </c>
      <c r="J521" s="194">
        <f ca="1">IFERROR(__xludf.DUMMYFUNCTION("IMPORTRANGE(""https://docs.google.com/spreadsheets/d/1IYY_tgx_IHuhSq3AJ5eI5OnqOPBNLWSHKh2a30DoXe8/edit?usp=sharing"",""สุราษฎร์ธานี!J416"")"),0)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IFERROR(__xludf.DUMMYFUNCTION("IMPORTRANGE(""https://docs.google.com/spreadsheets/d/1IYY_tgx_IHuhSq3AJ5eI5OnqOPBNLWSHKh2a30DoXe8/edit?usp=sharing"",""สุราษฎร์ธานี!I417"")"),0)</f>
        <v>0</v>
      </c>
      <c r="J522" s="194">
        <f ca="1">IFERROR(__xludf.DUMMYFUNCTION("IMPORTRANGE(""https://docs.google.com/spreadsheets/d/1IYY_tgx_IHuhSq3AJ5eI5OnqOPBNLWSHKh2a30DoXe8/edit?usp=sharing"",""สุราษฎร์ธานี!J417"")"),0)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IFERROR(__xludf.DUMMYFUNCTION("IMPORTRANGE(""https://docs.google.com/spreadsheets/d/1IYY_tgx_IHuhSq3AJ5eI5OnqOPBNLWSHKh2a30DoXe8/edit?usp=sharing"",""สุราษฎร์ธานี!I418"")"),0)</f>
        <v>0</v>
      </c>
      <c r="J523" s="194">
        <f ca="1">IFERROR(__xludf.DUMMYFUNCTION("IMPORTRANGE(""https://docs.google.com/spreadsheets/d/1IYY_tgx_IHuhSq3AJ5eI5OnqOPBNLWSHKh2a30DoXe8/edit?usp=sharing"",""สุราษฎร์ธานี!J418"")"),3)</f>
        <v>3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IFERROR(__xludf.DUMMYFUNCTION("IMPORTRANGE(""https://docs.google.com/spreadsheets/d/1IYY_tgx_IHuhSq3AJ5eI5OnqOPBNLWSHKh2a30DoXe8/edit?usp=sharing"",""สุราษฎร์ธานี!I419"")"),0)</f>
        <v>0</v>
      </c>
      <c r="J524" s="194">
        <f ca="1">IFERROR(__xludf.DUMMYFUNCTION("IMPORTRANGE(""https://docs.google.com/spreadsheets/d/1IYY_tgx_IHuhSq3AJ5eI5OnqOPBNLWSHKh2a30DoXe8/edit?usp=sharing"",""สุราษฎร์ธานี!J419"")"),2)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IFERROR(__xludf.DUMMYFUNCTION("IMPORTRANGE(""https://docs.google.com/spreadsheets/d/1IYY_tgx_IHuhSq3AJ5eI5OnqOPBNLWSHKh2a30DoXe8/edit?usp=sharing"",""สุราษฎร์ธานี!I422"")"),0)</f>
        <v>0</v>
      </c>
      <c r="J527" s="204">
        <f ca="1">IFERROR(__xludf.DUMMYFUNCTION("IMPORTRANGE(""https://docs.google.com/spreadsheets/d/1IYY_tgx_IHuhSq3AJ5eI5OnqOPBNLWSHKh2a30DoXe8/edit?usp=sharing"",""สุราษฎร์ธานี!J422"")"),0)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IFERROR(__xludf.DUMMYFUNCTION("IMPORTRANGE(""https://docs.google.com/spreadsheets/d/1IYY_tgx_IHuhSq3AJ5eI5OnqOPBNLWSHKh2a30DoXe8/edit?usp=sharing"",""สุราษฎร์ธานี!I423"")"),0)</f>
        <v>0</v>
      </c>
      <c r="J528" s="204">
        <f ca="1">IFERROR(__xludf.DUMMYFUNCTION("IMPORTRANGE(""https://docs.google.com/spreadsheets/d/1IYY_tgx_IHuhSq3AJ5eI5OnqOPBNLWSHKh2a30DoXe8/edit?usp=sharing"",""สุราษฎร์ธานี!J423"")"),0)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IFERROR(__xludf.DUMMYFUNCTION("IMPORTRANGE(""https://docs.google.com/spreadsheets/d/1IYY_tgx_IHuhSq3AJ5eI5OnqOPBNLWSHKh2a30DoXe8/edit?usp=sharing"",""สุราษฎร์ธานี!I424"")"),0)</f>
        <v>0</v>
      </c>
      <c r="J529" s="204">
        <f ca="1">IFERROR(__xludf.DUMMYFUNCTION("IMPORTRANGE(""https://docs.google.com/spreadsheets/d/1IYY_tgx_IHuhSq3AJ5eI5OnqOPBNLWSHKh2a30DoXe8/edit?usp=sharing"",""สุราษฎร์ธานี!J424"")"),0)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IFERROR(__xludf.DUMMYFUNCTION("IMPORTRANGE(""https://docs.google.com/spreadsheets/d/1IYY_tgx_IHuhSq3AJ5eI5OnqOPBNLWSHKh2a30DoXe8/edit?usp=sharing"",""สุราษฎร์ธานี!I425"")"),0)</f>
        <v>0</v>
      </c>
      <c r="J530" s="204">
        <f ca="1">IFERROR(__xludf.DUMMYFUNCTION("IMPORTRANGE(""https://docs.google.com/spreadsheets/d/1IYY_tgx_IHuhSq3AJ5eI5OnqOPBNLWSHKh2a30DoXe8/edit?usp=sharing"",""สุราษฎร์ธานี!J425"")"),0)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IFERROR(__xludf.DUMMYFUNCTION("IMPORTRANGE(""https://docs.google.com/spreadsheets/d/1IYY_tgx_IHuhSq3AJ5eI5OnqOPBNLWSHKh2a30DoXe8/edit?usp=sharing"",""สุราษฎร์ธานี!I426"")"),0)</f>
        <v>0</v>
      </c>
      <c r="J531" s="204">
        <f ca="1">IFERROR(__xludf.DUMMYFUNCTION("IMPORTRANGE(""https://docs.google.com/spreadsheets/d/1IYY_tgx_IHuhSq3AJ5eI5OnqOPBNLWSHKh2a30DoXe8/edit?usp=sharing"",""สุราษฎร์ธานี!J426"")"),0)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IFERROR(__xludf.DUMMYFUNCTION("IMPORTRANGE(""https://docs.google.com/spreadsheets/d/1IYY_tgx_IHuhSq3AJ5eI5OnqOPBNLWSHKh2a30DoXe8/edit?usp=sharing"",""สุราษฎร์ธานี!M428"")"),29146)</f>
        <v>29146</v>
      </c>
      <c r="O533" s="418">
        <f t="shared" ref="O533:O537" ca="1" si="118">+IF(L533&gt;0,N533*100/L533,0)</f>
        <v>80.871254162042177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IFERROR(__xludf.DUMMYFUNCTION("IMPORTRANGE(""https://docs.google.com/spreadsheets/d/1IYY_tgx_IHuhSq3AJ5eI5OnqOPBNLWSHKh2a30DoXe8/edit?usp=sharing"",""สุราษฎร์ธานี!L429"")"),0)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IFERROR(__xludf.DUMMYFUNCTION("IMPORTRANGE(""https://docs.google.com/spreadsheets/d/1IYY_tgx_IHuhSq3AJ5eI5OnqOPBNLWSHKh2a30DoXe8/edit?usp=sharing"",""สุราษฎร์ธานี!M429"")"),0)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69"/>
      <c r="N535" s="175">
        <f ca="1">IFERROR(__xludf.DUMMYFUNCTION("IMPORTRANGE(""https://docs.google.com/spreadsheets/d/1IYY_tgx_IHuhSq3AJ5eI5OnqOPBNLWSHKh2a30DoXe8/edit?usp=sharing"",""สุราษฎร์ธานี!M430"")"),29146)</f>
        <v>29146</v>
      </c>
      <c r="O535" s="175">
        <f t="shared" ca="1" si="118"/>
        <v>80.871254162042177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IFERROR(__xludf.DUMMYFUNCTION("IMPORTRANGE(""https://docs.google.com/spreadsheets/d/1IYY_tgx_IHuhSq3AJ5eI5OnqOPBNLWSHKh2a30DoXe8/edit?usp=sharing"",""สุราษฎร์ธานี!L431"")"),0)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IFERROR(__xludf.DUMMYFUNCTION("IMPORTRANGE(""https://docs.google.com/spreadsheets/d/1IYY_tgx_IHuhSq3AJ5eI5OnqOPBNLWSHKh2a30DoXe8/edit?usp=sharing"",""สุราษฎร์ธานี!M431"")"),0)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5"/>
      <c r="N537" s="175">
        <f ca="1">IFERROR(__xludf.DUMMYFUNCTION("IMPORTRANGE(""https://docs.google.com/spreadsheets/d/1IYY_tgx_IHuhSq3AJ5eI5OnqOPBNLWSHKh2a30DoXe8/edit?usp=sharing"",""สุราษฎร์ธานี!M432"")"),29146)</f>
        <v>29146</v>
      </c>
      <c r="O537" s="175">
        <f t="shared" ca="1" si="118"/>
        <v>80.871254162042177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IFERROR(__xludf.DUMMYFUNCTION("IMPORTRANGE(""https://docs.google.com/spreadsheets/d/1IYY_tgx_IHuhSq3AJ5eI5OnqOPBNLWSHKh2a30DoXe8/edit?usp=sharing"",""สุราษฎร์ธานี!M436"")"),11967)</f>
        <v>11967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IFERROR(__xludf.DUMMYFUNCTION("IMPORTRANGE(""https://docs.google.com/spreadsheets/d/1IYY_tgx_IHuhSq3AJ5eI5OnqOPBNLWSHKh2a30DoXe8/edit?usp=sharing"",""สุราษฎร์ธานี!J438"")"),0)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IFERROR(__xludf.DUMMYFUNCTION("IMPORTRANGE(""https://docs.google.com/spreadsheets/d/1IYY_tgx_IHuhSq3AJ5eI5OnqOPBNLWSHKh2a30DoXe8/edit?usp=sharing"",""สุราษฎร์ธานี!J439"")"),1)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IFERROR(__xludf.DUMMYFUNCTION("IMPORTRANGE(""https://docs.google.com/spreadsheets/d/1IYY_tgx_IHuhSq3AJ5eI5OnqOPBNLWSHKh2a30DoXe8/edit?usp=sharing"",""สุราษฎร์ธานี!J440"")"),1)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IFERROR(__xludf.DUMMYFUNCTION("IMPORTRANGE(""https://docs.google.com/spreadsheets/d/1IYY_tgx_IHuhSq3AJ5eI5OnqOPBNLWSHKh2a30DoXe8/edit?usp=sharing"",""สุราษฎร์ธานี!J441"")"),1)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IFERROR(__xludf.DUMMYFUNCTION("IMPORTRANGE(""https://docs.google.com/spreadsheets/d/1IYY_tgx_IHuhSq3AJ5eI5OnqOPBNLWSHKh2a30DoXe8/edit?usp=sharing"",""สุราษฎร์ธานี!I442"")"),24)</f>
        <v>24</v>
      </c>
      <c r="J547" s="195">
        <f ca="1">IFERROR(__xludf.DUMMYFUNCTION("IMPORTRANGE(""https://docs.google.com/spreadsheets/d/1IYY_tgx_IHuhSq3AJ5eI5OnqOPBNLWSHKh2a30DoXe8/edit?usp=sharing"",""สุราษฎร์ธานี!J442"")"),24)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IFERROR(__xludf.DUMMYFUNCTION("IMPORTRANGE(""https://docs.google.com/spreadsheets/d/1IYY_tgx_IHuhSq3AJ5eI5OnqOPBNLWSHKh2a30DoXe8/edit?usp=sharing"",""สุราษฎร์ธานี!J166"")"),0)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IFERROR(__xludf.DUMMYFUNCTION("IMPORTRANGE(""https://docs.google.com/spreadsheets/d/1IYY_tgx_IHuhSq3AJ5eI5OnqOPBNLWSHKh2a30DoXe8/edit?usp=sharing"",""สุราษฎร์ธานี!J444"")"),0)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IFERROR(__xludf.DUMMYFUNCTION("IMPORTRANGE(""https://docs.google.com/spreadsheets/d/1IYY_tgx_IHuhSq3AJ5eI5OnqOPBNLWSHKh2a30DoXe8/edit?usp=sharing"",""สุราษฎร์ธานี!L447"")"),0)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IFERROR(__xludf.DUMMYFUNCTION("IMPORTRANGE(""https://docs.google.com/spreadsheets/d/1IYY_tgx_IHuhSq3AJ5eI5OnqOPBNLWSHKh2a30DoXe8/edit?usp=sharing"",""สุราษฎร์ธานี!M447"")"),0)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IFERROR(__xludf.DUMMYFUNCTION("IMPORTRANGE(""https://docs.google.com/spreadsheets/d/1IYY_tgx_IHuhSq3AJ5eI5OnqOPBNLWSHKh2a30DoXe8/edit?usp=sharing"",""สุราษฎร์ธานี!M448"")"),0)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IFERROR(__xludf.DUMMYFUNCTION("IMPORTRANGE(""https://docs.google.com/spreadsheets/d/1IYY_tgx_IHuhSq3AJ5eI5OnqOPBNLWSHKh2a30DoXe8/edit?usp=sharing"",""สุราษฎร์ธานี!L449"")"),0)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IFERROR(__xludf.DUMMYFUNCTION("IMPORTRANGE(""https://docs.google.com/spreadsheets/d/1IYY_tgx_IHuhSq3AJ5eI5OnqOPBNLWSHKh2a30DoXe8/edit?usp=sharing"",""สุราษฎร์ธานี!M449"")"),0)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IFERROR(__xludf.DUMMYFUNCTION("IMPORTRANGE(""https://docs.google.com/spreadsheets/d/1IYY_tgx_IHuhSq3AJ5eI5OnqOPBNLWSHKh2a30DoXe8/edit?usp=sharing"",""สุราษฎร์ธานี!L450"")"),0)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IFERROR(__xludf.DUMMYFUNCTION("IMPORTRANGE(""https://docs.google.com/spreadsheets/d/1IYY_tgx_IHuhSq3AJ5eI5OnqOPBNLWSHKh2a30DoXe8/edit?usp=sharing"",""สุราษฎร์ธานี!M450"")"),0)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IFERROR(__xludf.DUMMYFUNCTION("IMPORTRANGE(""https://docs.google.com/spreadsheets/d/1IYY_tgx_IHuhSq3AJ5eI5OnqOPBNLWSHKh2a30DoXe8/edit?usp=sharing"",""สุราษฎร์ธานี!M451"")"),0)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IFERROR(__xludf.DUMMYFUNCTION("IMPORTRANGE(""https://docs.google.com/spreadsheets/d/1IYY_tgx_IHuhSq3AJ5eI5OnqOPBNLWSHKh2a30DoXe8/edit?usp=sharing"",""สุราษฎร์ธานี!M452"")"),0)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IFERROR(__xludf.DUMMYFUNCTION("IMPORTRANGE(""https://docs.google.com/spreadsheets/d/1IYY_tgx_IHuhSq3AJ5eI5OnqOPBNLWSHKh2a30DoXe8/edit?usp=sharing"",""สุราษฎร์ธานี!M453"")"),0)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IFERROR(__xludf.DUMMYFUNCTION("IMPORTRANGE(""https://docs.google.com/spreadsheets/d/1IYY_tgx_IHuhSq3AJ5eI5OnqOPBNLWSHKh2a30DoXe8/edit?usp=sharing"",""สุราษฎร์ธานี!M454"")"),0)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IFERROR(__xludf.DUMMYFUNCTION("IMPORTRANGE(""https://docs.google.com/spreadsheets/d/1IYY_tgx_IHuhSq3AJ5eI5OnqOPBNLWSHKh2a30DoXe8/edit?usp=sharing"",""สุราษฎร์ธานี!I455"")"),0)</f>
        <v>0</v>
      </c>
      <c r="J560" s="166">
        <f ca="1">IFERROR(__xludf.DUMMYFUNCTION("IMPORTRANGE(""https://docs.google.com/spreadsheets/d/1IYY_tgx_IHuhSq3AJ5eI5OnqOPBNLWSHKh2a30DoXe8/edit?usp=sharing"",""สุราษฎร์ธานี!J455"")"),0)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IFERROR(__xludf.DUMMYFUNCTION("IMPORTRANGE(""https://docs.google.com/spreadsheets/d/1IYY_tgx_IHuhSq3AJ5eI5OnqOPBNLWSHKh2a30DoXe8/edit?usp=sharing"",""สุราษฎร์ธานี!I456"")"),0)</f>
        <v>0</v>
      </c>
      <c r="J561" s="210">
        <f ca="1">IFERROR(__xludf.DUMMYFUNCTION("IMPORTRANGE(""https://docs.google.com/spreadsheets/d/1IYY_tgx_IHuhSq3AJ5eI5OnqOPBNLWSHKh2a30DoXe8/edit?usp=sharing"",""สุราษฎร์ธานี!J456"")"),0)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IFERROR(__xludf.DUMMYFUNCTION("IMPORTRANGE(""https://docs.google.com/spreadsheets/d/1IYY_tgx_IHuhSq3AJ5eI5OnqOPBNLWSHKh2a30DoXe8/edit?usp=sharing"",""สุราษฎร์ธานี!J459"")"),8658)</f>
        <v>8658</v>
      </c>
      <c r="K564" s="378">
        <f ca="1">IF(I564&gt;0,J564*100/I564,0)</f>
        <v>279.29032258064518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IFERROR(__xludf.DUMMYFUNCTION("IMPORTRANGE(""https://docs.google.com/spreadsheets/d/1IYY_tgx_IHuhSq3AJ5eI5OnqOPBNLWSHKh2a30DoXe8/edit?usp=sharing"",""สุราษฎร์ธานี!M459"")"),77679.98)</f>
        <v>77679.98</v>
      </c>
      <c r="O564" s="379">
        <f t="shared" ref="O564:O568" ca="1" si="122">+IF(L564&gt;0,N564*100/L564,0)</f>
        <v>46.459318181818183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IFERROR(__xludf.DUMMYFUNCTION("IMPORTRANGE(""https://docs.google.com/spreadsheets/d/1IYY_tgx_IHuhSq3AJ5eI5OnqOPBNLWSHKh2a30DoXe8/edit?usp=sharing"",""สุราษฎร์ธานี!L460"")"),0)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IFERROR(__xludf.DUMMYFUNCTION("IMPORTRANGE(""https://docs.google.com/spreadsheets/d/1IYY_tgx_IHuhSq3AJ5eI5OnqOPBNLWSHKh2a30DoXe8/edit?usp=sharing"",""สุราษฎร์ธานี!M460"")"),0)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5">
        <f ca="1">IFERROR(__xludf.DUMMYFUNCTION("IMPORTRANGE(""https://docs.google.com/spreadsheets/d/1IYY_tgx_IHuhSq3AJ5eI5OnqOPBNLWSHKh2a30DoXe8/edit?usp=sharing"",""สุราษฎร์ธานี!M461"")"),77679.98)</f>
        <v>77679.98</v>
      </c>
      <c r="O566" s="175">
        <f t="shared" ca="1" si="122"/>
        <v>46.459318181818183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IFERROR(__xludf.DUMMYFUNCTION("IMPORTRANGE(""https://docs.google.com/spreadsheets/d/1IYY_tgx_IHuhSq3AJ5eI5OnqOPBNLWSHKh2a30DoXe8/edit?usp=sharing"",""สุราษฎร์ธานี!L462"")"),0)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IFERROR(__xludf.DUMMYFUNCTION("IMPORTRANGE(""https://docs.google.com/spreadsheets/d/1IYY_tgx_IHuhSq3AJ5eI5OnqOPBNLWSHKh2a30DoXe8/edit?usp=sharing"",""สุราษฎร์ธานี!M462"")"),0)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5"/>
      <c r="N568" s="175">
        <f ca="1">IFERROR(__xludf.DUMMYFUNCTION("IMPORTRANGE(""https://docs.google.com/spreadsheets/d/1IYY_tgx_IHuhSq3AJ5eI5OnqOPBNLWSHKh2a30DoXe8/edit?usp=sharing"",""สุราษฎร์ธานี!M463"")"),77679.98)</f>
        <v>77679.98</v>
      </c>
      <c r="O568" s="175">
        <f t="shared" ca="1" si="122"/>
        <v>46.459318181818183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IFERROR(__xludf.DUMMYFUNCTION("IMPORTRANGE(""https://docs.google.com/spreadsheets/d/1IYY_tgx_IHuhSq3AJ5eI5OnqOPBNLWSHKh2a30DoXe8/edit?usp=sharing"",""สุราษฎร์ธานี!M464"")"),0)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IFERROR(__xludf.DUMMYFUNCTION("IMPORTRANGE(""https://docs.google.com/spreadsheets/d/1IYY_tgx_IHuhSq3AJ5eI5OnqOPBNLWSHKh2a30DoXe8/edit?usp=sharing"",""สุราษฎร์ธานี!M465"")"),0)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IFERROR(__xludf.DUMMYFUNCTION("IMPORTRANGE(""https://docs.google.com/spreadsheets/d/1IYY_tgx_IHuhSq3AJ5eI5OnqOPBNLWSHKh2a30DoXe8/edit?usp=sharing"",""สุราษฎร์ธานี!M466"")"),74799.98)</f>
        <v>74799.98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IFERROR(__xludf.DUMMYFUNCTION("IMPORTRANGE(""https://docs.google.com/spreadsheets/d/1IYY_tgx_IHuhSq3AJ5eI5OnqOPBNLWSHKh2a30DoXe8/edit?usp=sharing"",""สุราษฎร์ธานี!M467"")"),2880)</f>
        <v>2880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IFERROR(__xludf.DUMMYFUNCTION("IMPORTRANGE(""https://docs.google.com/spreadsheets/d/1IYY_tgx_IHuhSq3AJ5eI5OnqOPBNLWSHKh2a30DoXe8/edit?usp=sharing"",""สุราษฎร์ธานี!J468"")"),8658)</f>
        <v>8658</v>
      </c>
      <c r="K573" s="208">
        <f ca="1">IF(I573&gt;0,J573*100/I573,0)</f>
        <v>279.29032258064518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IFERROR(__xludf.DUMMYFUNCTION("IMPORTRANGE(""https://docs.google.com/spreadsheets/d/1IYY_tgx_IHuhSq3AJ5eI5OnqOPBNLWSHKh2a30DoXe8/edit?usp=sharing"",""สุราษฎร์ธานี!I470"")"),0)</f>
        <v>0</v>
      </c>
      <c r="J575" s="204">
        <f ca="1">IFERROR(__xludf.DUMMYFUNCTION("IMPORTRANGE(""https://docs.google.com/spreadsheets/d/1IYY_tgx_IHuhSq3AJ5eI5OnqOPBNLWSHKh2a30DoXe8/edit?usp=sharing"",""สุราษฎร์ธานี!J470"")"),4)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IFERROR(__xludf.DUMMYFUNCTION("IMPORTRANGE(""https://docs.google.com/spreadsheets/d/1IYY_tgx_IHuhSq3AJ5eI5OnqOPBNLWSHKh2a30DoXe8/edit?usp=sharing"",""สุราษฎร์ธานี!I471"")"),0)</f>
        <v>0</v>
      </c>
      <c r="J576" s="204">
        <f ca="1">IFERROR(__xludf.DUMMYFUNCTION("IMPORTRANGE(""https://docs.google.com/spreadsheets/d/1IYY_tgx_IHuhSq3AJ5eI5OnqOPBNLWSHKh2a30DoXe8/edit?usp=sharing"",""สุราษฎร์ธานี!J471"")"),98)</f>
        <v>98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IFERROR(__xludf.DUMMYFUNCTION("IMPORTRANGE(""https://docs.google.com/spreadsheets/d/1IYY_tgx_IHuhSq3AJ5eI5OnqOPBNLWSHKh2a30DoXe8/edit?usp=sharing"",""สุราษฎร์ธานี!I472"")"),0)</f>
        <v>0</v>
      </c>
      <c r="J577" s="195">
        <f ca="1">IFERROR(__xludf.DUMMYFUNCTION("IMPORTRANGE(""https://docs.google.com/spreadsheets/d/1IYY_tgx_IHuhSq3AJ5eI5OnqOPBNLWSHKh2a30DoXe8/edit?usp=sharing"",""สุราษฎร์ธานี!J472"")"),8557)</f>
        <v>8557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IFERROR(__xludf.DUMMYFUNCTION("IMPORTRANGE(""https://docs.google.com/spreadsheets/d/1IYY_tgx_IHuhSq3AJ5eI5OnqOPBNLWSHKh2a30DoXe8/edit?usp=sharing"",""สุราษฎร์ธานี!I473"")"),0)</f>
        <v>0</v>
      </c>
      <c r="J578" s="204">
        <f ca="1">IFERROR(__xludf.DUMMYFUNCTION("IMPORTRANGE(""https://docs.google.com/spreadsheets/d/1IYY_tgx_IHuhSq3AJ5eI5OnqOPBNLWSHKh2a30DoXe8/edit?usp=sharing"",""สุราษฎร์ธานี!J473"")"),0)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IFERROR(__xludf.DUMMYFUNCTION("IMPORTRANGE(""https://docs.google.com/spreadsheets/d/1IYY_tgx_IHuhSq3AJ5eI5OnqOPBNLWSHKh2a30DoXe8/edit?usp=sharing"",""สุราษฎร์ธานี!I474"")"),0)</f>
        <v>0</v>
      </c>
      <c r="J579" s="204">
        <f ca="1">IFERROR(__xludf.DUMMYFUNCTION("IMPORTRANGE(""https://docs.google.com/spreadsheets/d/1IYY_tgx_IHuhSq3AJ5eI5OnqOPBNLWSHKh2a30DoXe8/edit?usp=sharing"",""สุราษฎร์ธานี!J474"")"),3)</f>
        <v>3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IFERROR(__xludf.DUMMYFUNCTION("IMPORTRANGE(""https://docs.google.com/spreadsheets/d/1IYY_tgx_IHuhSq3AJ5eI5OnqOPBNLWSHKh2a30DoXe8/edit?usp=sharing"",""สุราษฎร์ธานี!L476"")"),0)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IFERROR(__xludf.DUMMYFUNCTION("IMPORTRANGE(""https://docs.google.com/spreadsheets/d/1IYY_tgx_IHuhSq3AJ5eI5OnqOPBNLWSHKh2a30DoXe8/edit?usp=sharing"",""สุราษฎร์ธานี!M476"")"),0)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IFERROR(__xludf.DUMMYFUNCTION("IMPORTRANGE(""https://docs.google.com/spreadsheets/d/1IYY_tgx_IHuhSq3AJ5eI5OnqOPBNLWSHKh2a30DoXe8/edit?usp=sharing"",""สุราษฎร์ธานี!M477"")"),0)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IFERROR(__xludf.DUMMYFUNCTION("IMPORTRANGE(""https://docs.google.com/spreadsheets/d/1IYY_tgx_IHuhSq3AJ5eI5OnqOPBNLWSHKh2a30DoXe8/edit?usp=sharing"",""สุราษฎร์ธานี!L478"")"),0)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IFERROR(__xludf.DUMMYFUNCTION("IMPORTRANGE(""https://docs.google.com/spreadsheets/d/1IYY_tgx_IHuhSq3AJ5eI5OnqOPBNLWSHKh2a30DoXe8/edit?usp=sharing"",""สุราษฎร์ธานี!M478"")"),0)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IFERROR(__xludf.DUMMYFUNCTION("IMPORTRANGE(""https://docs.google.com/spreadsheets/d/1IYY_tgx_IHuhSq3AJ5eI5OnqOPBNLWSHKh2a30DoXe8/edit?usp=sharing"",""สุราษฎร์ธานี!L479"")"),0)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IFERROR(__xludf.DUMMYFUNCTION("IMPORTRANGE(""https://docs.google.com/spreadsheets/d/1IYY_tgx_IHuhSq3AJ5eI5OnqOPBNLWSHKh2a30DoXe8/edit?usp=sharing"",""สุราษฎร์ธานี!M479"")"),0)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IFERROR(__xludf.DUMMYFUNCTION("IMPORTRANGE(""https://docs.google.com/spreadsheets/d/1IYY_tgx_IHuhSq3AJ5eI5OnqOPBNLWSHKh2a30DoXe8/edit?usp=sharing"",""สุราษฎร์ธานี!M480"")"),0)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IFERROR(__xludf.DUMMYFUNCTION("IMPORTRANGE(""https://docs.google.com/spreadsheets/d/1IYY_tgx_IHuhSq3AJ5eI5OnqOPBNLWSHKh2a30DoXe8/edit?usp=sharing"",""สุราษฎร์ธานี!M481"")"),0)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IFERROR(__xludf.DUMMYFUNCTION("IMPORTRANGE(""https://docs.google.com/spreadsheets/d/1IYY_tgx_IHuhSq3AJ5eI5OnqOPBNLWSHKh2a30DoXe8/edit?usp=sharing"",""สุราษฎร์ธานี!M482"")"),0)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IFERROR(__xludf.DUMMYFUNCTION("IMPORTRANGE(""https://docs.google.com/spreadsheets/d/1IYY_tgx_IHuhSq3AJ5eI5OnqOPBNLWSHKh2a30DoXe8/edit?usp=sharing"",""สุราษฎร์ธานี!M483"")"),0)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4">
        <f ca="1">IFERROR(__xludf.DUMMYFUNCTION("IMPORTRANGE(""https://docs.google.com/spreadsheets/d/1IYY_tgx_IHuhSq3AJ5eI5OnqOPBNLWSHKh2a30DoXe8/edit?usp=sharing"",""สุราษฎร์ธานี!J484"")"),0)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4">
        <f ca="1">IFERROR(__xludf.DUMMYFUNCTION("IMPORTRANGE(""https://docs.google.com/spreadsheets/d/1IYY_tgx_IHuhSq3AJ5eI5OnqOPBNLWSHKh2a30DoXe8/edit?usp=sharing"",""สุราษฎร์ธานี!J485"")"),0)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4">
        <f ca="1">IFERROR(__xludf.DUMMYFUNCTION("IMPORTRANGE(""https://docs.google.com/spreadsheets/d/1IYY_tgx_IHuhSq3AJ5eI5OnqOPBNLWSHKh2a30DoXe8/edit?usp=sharing"",""สุราษฎร์ธานี!J486"")"),0)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4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4">
        <f ca="1">IFERROR(__xludf.DUMMYFUNCTION("IMPORTRANGE(""https://docs.google.com/spreadsheets/d/1IYY_tgx_IHuhSq3AJ5eI5OnqOPBNLWSHKh2a30DoXe8/edit?usp=sharing"",""สุราษฎร์ธานี!J488"")"),0)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4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4">
        <f ca="1">IFERROR(__xludf.DUMMYFUNCTION("IMPORTRANGE(""https://docs.google.com/spreadsheets/d/1IYY_tgx_IHuhSq3AJ5eI5OnqOPBNLWSHKh2a30DoXe8/edit?usp=sharing"",""สุราษฎร์ธานี!J490"")"),0)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IFERROR(__xludf.DUMMYFUNCTION("IMPORTRANGE(""https://docs.google.com/spreadsheets/d/1IYY_tgx_IHuhSq3AJ5eI5OnqOPBNLWSHKh2a30DoXe8/edit?usp=sharing"",""สุราษฎร์ธานี!I491"")"),0)</f>
        <v>0</v>
      </c>
      <c r="J596" s="247">
        <f ca="1">IFERROR(__xludf.DUMMYFUNCTION("IMPORTRANGE(""https://docs.google.com/spreadsheets/d/1IYY_tgx_IHuhSq3AJ5eI5OnqOPBNLWSHKh2a30DoXe8/edit?usp=sharing"",""สุราษฎร์ธานี!J491"")"),0)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4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32.098765432098766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IFERROR(__xludf.DUMMYFUNCTION("IMPORTRANGE(""https://docs.google.com/spreadsheets/d/1IYY_tgx_IHuhSq3AJ5eI5OnqOPBNLWSHKh2a30DoXe8/edit?usp=sharing"",""สุราษฎร์ธานี!L493"")"),0)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IFERROR(__xludf.DUMMYFUNCTION("IMPORTRANGE(""https://docs.google.com/spreadsheets/d/1IYY_tgx_IHuhSq3AJ5eI5OnqOPBNLWSHKh2a30DoXe8/edit?usp=sharing"",""สุราษฎร์ธานี!M493"")"),0)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5">
        <f t="shared" ca="1" si="126"/>
        <v>32.098765432098766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IFERROR(__xludf.DUMMYFUNCTION("IMPORTRANGE(""https://docs.google.com/spreadsheets/d/1IYY_tgx_IHuhSq3AJ5eI5OnqOPBNLWSHKh2a30DoXe8/edit?usp=sharing"",""สุราษฎร์ธานี!L495"")"),0)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IFERROR(__xludf.DUMMYFUNCTION("IMPORTRANGE(""https://docs.google.com/spreadsheets/d/1IYY_tgx_IHuhSq3AJ5eI5OnqOPBNLWSHKh2a30DoXe8/edit?usp=sharing"",""สุราษฎร์ธานี!M495"")"),0)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5">
        <f t="shared" ca="1" si="126"/>
        <v>32.098765432098766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IFERROR(__xludf.DUMMYFUNCTION("IMPORTRANGE(""https://docs.google.com/spreadsheets/d/1IYY_tgx_IHuhSq3AJ5eI5OnqOPBNLWSHKh2a30DoXe8/edit?usp=sharing"",""สุราษฎร์ธานี!M497"")"),0)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IFERROR(__xludf.DUMMYFUNCTION("IMPORTRANGE(""https://docs.google.com/spreadsheets/d/1IYY_tgx_IHuhSq3AJ5eI5OnqOPBNLWSHKh2a30DoXe8/edit?usp=sharing"",""สุราษฎร์ธานี!M498"")"),0)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IFERROR(__xludf.DUMMYFUNCTION("IMPORTRANGE(""https://docs.google.com/spreadsheets/d/1IYY_tgx_IHuhSq3AJ5eI5OnqOPBNLWSHKh2a30DoXe8/edit?usp=sharing"",""สุราษฎร์ธานี!J502"")"),0)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IFERROR(__xludf.DUMMYFUNCTION("IMPORTRANGE(""https://docs.google.com/spreadsheets/d/1IYY_tgx_IHuhSq3AJ5eI5OnqOPBNLWSHKh2a30DoXe8/edit?usp=sharing"",""สุราษฎร์ธานี!J503"")"),1)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IFERROR(__xludf.DUMMYFUNCTION("IMPORTRANGE(""https://docs.google.com/spreadsheets/d/1IYY_tgx_IHuhSq3AJ5eI5OnqOPBNLWSHKh2a30DoXe8/edit?usp=sharing"",""สุราษฎร์ธานี!J166"")"),0)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IFERROR(__xludf.DUMMYFUNCTION("IMPORTRANGE(""https://docs.google.com/spreadsheets/d/1IYY_tgx_IHuhSq3AJ5eI5OnqOPBNLWSHKh2a30DoXe8/edit?usp=sharing"",""สุราษฎร์ธานี!J166"")"),0)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6">
        <f ca="1">IFERROR(__xludf.DUMMYFUNCTION("IMPORTRANGE(""https://docs.google.com/spreadsheets/d/1IYY_tgx_IHuhSq3AJ5eI5OnqOPBNLWSHKh2a30DoXe8/edit?usp=sharing"",""สุราษฎร์ธานี!J506"")"),0)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IFERROR(__xludf.DUMMYFUNCTION("IMPORTRANGE(""https://docs.google.com/spreadsheets/d/1IYY_tgx_IHuhSq3AJ5eI5OnqOPBNLWSHKh2a30DoXe8/edit?usp=sharing"",""สุราษฎร์ธานี!I507"")"),0)</f>
        <v>0</v>
      </c>
      <c r="J612" s="204">
        <f ca="1">IFERROR(__xludf.DUMMYFUNCTION("IMPORTRANGE(""https://docs.google.com/spreadsheets/d/1IYY_tgx_IHuhSq3AJ5eI5OnqOPBNLWSHKh2a30DoXe8/edit?usp=sharing"",""สุราษฎร์ธานี!J507"")"),0)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IFERROR(__xludf.DUMMYFUNCTION("IMPORTRANGE(""https://docs.google.com/spreadsheets/d/1IYY_tgx_IHuhSq3AJ5eI5OnqOPBNLWSHKh2a30DoXe8/edit?usp=sharing"",""สุราษฎร์ธานี!I508"")"),0)</f>
        <v>0</v>
      </c>
      <c r="J613" s="204">
        <f ca="1">IFERROR(__xludf.DUMMYFUNCTION("IMPORTRANGE(""https://docs.google.com/spreadsheets/d/1IYY_tgx_IHuhSq3AJ5eI5OnqOPBNLWSHKh2a30DoXe8/edit?usp=sharing"",""สุราษฎร์ธานี!J508"")"),0)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IFERROR(__xludf.DUMMYFUNCTION("IMPORTRANGE(""https://docs.google.com/spreadsheets/d/1IYY_tgx_IHuhSq3AJ5eI5OnqOPBNLWSHKh2a30DoXe8/edit?usp=sharing"",""สุราษฎร์ธานี!I509"")"),0)</f>
        <v>0</v>
      </c>
      <c r="J614" s="204">
        <f ca="1">IFERROR(__xludf.DUMMYFUNCTION("IMPORTRANGE(""https://docs.google.com/spreadsheets/d/1IYY_tgx_IHuhSq3AJ5eI5OnqOPBNLWSHKh2a30DoXe8/edit?usp=sharing"",""สุราษฎร์ธานี!J509"")"),0)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IFERROR(__xludf.DUMMYFUNCTION("IMPORTRANGE(""https://docs.google.com/spreadsheets/d/1IYY_tgx_IHuhSq3AJ5eI5OnqOPBNLWSHKh2a30DoXe8/edit?usp=sharing"",""สุราษฎร์ธานี!I510"")"),0)</f>
        <v>0</v>
      </c>
      <c r="J615" s="204">
        <f ca="1">IFERROR(__xludf.DUMMYFUNCTION("IMPORTRANGE(""https://docs.google.com/spreadsheets/d/1IYY_tgx_IHuhSq3AJ5eI5OnqOPBNLWSHKh2a30DoXe8/edit?usp=sharing"",""สุราษฎร์ธานี!J510"")"),0)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IFERROR(__xludf.DUMMYFUNCTION("IMPORTRANGE(""https://docs.google.com/spreadsheets/d/1IYY_tgx_IHuhSq3AJ5eI5OnqOPBNLWSHKh2a30DoXe8/edit?usp=sharing"",""สุราษฎร์ธานี!I511"")"),0)</f>
        <v>0</v>
      </c>
      <c r="J616" s="204">
        <f ca="1">IFERROR(__xludf.DUMMYFUNCTION("IMPORTRANGE(""https://docs.google.com/spreadsheets/d/1IYY_tgx_IHuhSq3AJ5eI5OnqOPBNLWSHKh2a30DoXe8/edit?usp=sharing"",""สุราษฎร์ธานี!J511"")"),0)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IFERROR(__xludf.DUMMYFUNCTION("IMPORTRANGE(""https://docs.google.com/spreadsheets/d/1IYY_tgx_IHuhSq3AJ5eI5OnqOPBNLWSHKh2a30DoXe8/edit?usp=sharing"",""สุราษฎร์ธานี!I512"")"),0)</f>
        <v>0</v>
      </c>
      <c r="J617" s="194">
        <f ca="1">IFERROR(__xludf.DUMMYFUNCTION("IMPORTRANGE(""https://docs.google.com/spreadsheets/d/1IYY_tgx_IHuhSq3AJ5eI5OnqOPBNLWSHKh2a30DoXe8/edit?usp=sharing"",""สุราษฎร์ธานี!J512"")"),0)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IFERROR(__xludf.DUMMYFUNCTION("IMPORTRANGE(""https://docs.google.com/spreadsheets/d/1IYY_tgx_IHuhSq3AJ5eI5OnqOPBNLWSHKh2a30DoXe8/edit?usp=sharing"",""สุราษฎร์ธานี!I513"")"),0)</f>
        <v>0</v>
      </c>
      <c r="J618" s="195">
        <f ca="1">IFERROR(__xludf.DUMMYFUNCTION("IMPORTRANGE(""https://docs.google.com/spreadsheets/d/1IYY_tgx_IHuhSq3AJ5eI5OnqOPBNLWSHKh2a30DoXe8/edit?usp=sharing"",""สุราษฎร์ธานี!J513"")"),0)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IFERROR(__xludf.DUMMYFUNCTION("IMPORTRANGE(""https://docs.google.com/spreadsheets/d/1IYY_tgx_IHuhSq3AJ5eI5OnqOPBNLWSHKh2a30DoXe8/edit?usp=sharing"",""สุราษฎร์ธานี!I514"")"),0)</f>
        <v>0</v>
      </c>
      <c r="J619" s="195">
        <f ca="1">IFERROR(__xludf.DUMMYFUNCTION("IMPORTRANGE(""https://docs.google.com/spreadsheets/d/1IYY_tgx_IHuhSq3AJ5eI5OnqOPBNLWSHKh2a30DoXe8/edit?usp=sharing"",""สุราษฎร์ธานี!J514"")"),0)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IFERROR(__xludf.DUMMYFUNCTION("IMPORTRANGE(""https://docs.google.com/spreadsheets/d/1IYY_tgx_IHuhSq3AJ5eI5OnqOPBNLWSHKh2a30DoXe8/edit?usp=sharing"",""สุราษฎร์ธานี!I515"")"),0)</f>
        <v>0</v>
      </c>
      <c r="J620" s="209">
        <f ca="1">IFERROR(__xludf.DUMMYFUNCTION("IMPORTRANGE(""https://docs.google.com/spreadsheets/d/1IYY_tgx_IHuhSq3AJ5eI5OnqOPBNLWSHKh2a30DoXe8/edit?usp=sharing"",""สุราษฎร์ธานี!J515"")"),0)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IFERROR(__xludf.DUMMYFUNCTION("IMPORTRANGE(""https://docs.google.com/spreadsheets/d/1IYY_tgx_IHuhSq3AJ5eI5OnqOPBNLWSHKh2a30DoXe8/edit?usp=sharing"",""สุราษฎร์ธานี!I516"")"),0)</f>
        <v>0</v>
      </c>
      <c r="J621" s="209">
        <f ca="1">IFERROR(__xludf.DUMMYFUNCTION("IMPORTRANGE(""https://docs.google.com/spreadsheets/d/1IYY_tgx_IHuhSq3AJ5eI5OnqOPBNLWSHKh2a30DoXe8/edit?usp=sharing"",""สุราษฎร์ธานี!J516"")"),0)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IFERROR(__xludf.DUMMYFUNCTION("IMPORTRANGE(""https://docs.google.com/spreadsheets/d/1IYY_tgx_IHuhSq3AJ5eI5OnqOPBNLWSHKh2a30DoXe8/edit?usp=sharing"",""สุราษฎร์ธานี!I517"")"),0)</f>
        <v>0</v>
      </c>
      <c r="J622" s="195">
        <f ca="1">IFERROR(__xludf.DUMMYFUNCTION("IMPORTRANGE(""https://docs.google.com/spreadsheets/d/1IYY_tgx_IHuhSq3AJ5eI5OnqOPBNLWSHKh2a30DoXe8/edit?usp=sharing"",""สุราษฎร์ธานี!J517"")"),0)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IFERROR(__xludf.DUMMYFUNCTION("IMPORTRANGE(""https://docs.google.com/spreadsheets/d/1IYY_tgx_IHuhSq3AJ5eI5OnqOPBNLWSHKh2a30DoXe8/edit?usp=sharing"",""สุราษฎร์ธานี!I518"")"),0)</f>
        <v>0</v>
      </c>
      <c r="J623" s="195">
        <f ca="1">IFERROR(__xludf.DUMMYFUNCTION("IMPORTRANGE(""https://docs.google.com/spreadsheets/d/1IYY_tgx_IHuhSq3AJ5eI5OnqOPBNLWSHKh2a30DoXe8/edit?usp=sharing"",""สุราษฎร์ธานี!J518"")"),0)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IFERROR(__xludf.DUMMYFUNCTION("IMPORTRANGE(""https://docs.google.com/spreadsheets/d/1IYY_tgx_IHuhSq3AJ5eI5OnqOPBNLWSHKh2a30DoXe8/edit?usp=sharing"",""สุราษฎร์ธานี!I519"")"),0)</f>
        <v>0</v>
      </c>
      <c r="J624" s="194">
        <f ca="1">IFERROR(__xludf.DUMMYFUNCTION("IMPORTRANGE(""https://docs.google.com/spreadsheets/d/1IYY_tgx_IHuhSq3AJ5eI5OnqOPBNLWSHKh2a30DoXe8/edit?usp=sharing"",""สุราษฎร์ธานี!J519"")"),0)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IFERROR(__xludf.DUMMYFUNCTION("IMPORTRANGE(""https://docs.google.com/spreadsheets/d/1IYY_tgx_IHuhSq3AJ5eI5OnqOPBNLWSHKh2a30DoXe8/edit?usp=sharing"",""สุราษฎร์ธานี!I520"")"),0)</f>
        <v>0</v>
      </c>
      <c r="J625" s="195">
        <f ca="1">IFERROR(__xludf.DUMMYFUNCTION("IMPORTRANGE(""https://docs.google.com/spreadsheets/d/1IYY_tgx_IHuhSq3AJ5eI5OnqOPBNLWSHKh2a30DoXe8/edit?usp=sharing"",""สุราษฎร์ธานี!J520"")"),0)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IFERROR(__xludf.DUMMYFUNCTION("IMPORTRANGE(""https://docs.google.com/spreadsheets/d/1IYY_tgx_IHuhSq3AJ5eI5OnqOPBNLWSHKh2a30DoXe8/edit?usp=sharing"",""สุราษฎร์ธานี!I521"")"),0)</f>
        <v>0</v>
      </c>
      <c r="J626" s="195">
        <f ca="1">IFERROR(__xludf.DUMMYFUNCTION("IMPORTRANGE(""https://docs.google.com/spreadsheets/d/1IYY_tgx_IHuhSq3AJ5eI5OnqOPBNLWSHKh2a30DoXe8/edit?usp=sharing"",""สุราษฎร์ธานี!J521"")"),0)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IFERROR(__xludf.DUMMYFUNCTION("IMPORTRANGE(""https://docs.google.com/spreadsheets/d/1IYY_tgx_IHuhSq3AJ5eI5OnqOPBNLWSHKh2a30DoXe8/edit?usp=sharing"",""สุราษฎร์ธานี!J523"")"),2279748.54)</f>
        <v>2279748.54</v>
      </c>
      <c r="K628" s="348">
        <f t="shared" ref="K628:K635" ca="1" si="129">IF(I628&gt;0,J628*100/I628,0)</f>
        <v>55.721850014609537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IFERROR(__xludf.DUMMYFUNCTION("IMPORTRANGE(""https://docs.google.com/spreadsheets/d/1IYY_tgx_IHuhSq3AJ5eI5OnqOPBNLWSHKh2a30DoXe8/edit?usp=sharing"",""สุราษฎร์ธานี!J524"")"),150)</f>
        <v>150</v>
      </c>
      <c r="K629" s="348">
        <f t="shared" ca="1" si="129"/>
        <v>59.523809523809526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IFERROR(__xludf.DUMMYFUNCTION("IMPORTRANGE(""https://docs.google.com/spreadsheets/d/1IYY_tgx_IHuhSq3AJ5eI5OnqOPBNLWSHKh2a30DoXe8/edit?usp=sharing"",""สุราษฎร์ธานี!J525"")"),501318.76)</f>
        <v>501318.76</v>
      </c>
      <c r="K630" s="348">
        <f t="shared" ca="1" si="129"/>
        <v>21.845692249526461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IFERROR(__xludf.DUMMYFUNCTION("IMPORTRANGE(""https://docs.google.com/spreadsheets/d/1IYY_tgx_IHuhSq3AJ5eI5OnqOPBNLWSHKh2a30DoXe8/edit?usp=sharing"",""สุราษฎร์ธานี!J526"")"),60)</f>
        <v>60</v>
      </c>
      <c r="K631" s="348">
        <f t="shared" ca="1" si="129"/>
        <v>83.333333333333329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IFERROR(__xludf.DUMMYFUNCTION("IMPORTRANGE(""https://docs.google.com/spreadsheets/d/1IYY_tgx_IHuhSq3AJ5eI5OnqOPBNLWSHKh2a30DoXe8/edit?usp=sharing"",""สุราษฎร์ธานี!J529"")"),4500000)</f>
        <v>4500000</v>
      </c>
      <c r="K634" s="348">
        <f t="shared" ca="1" si="129"/>
        <v>90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8">
        <f ca="1">IFERROR(__xludf.DUMMYFUNCTION("IMPORTRANGE(""https://docs.google.com/spreadsheets/d/1IYY_tgx_IHuhSq3AJ5eI5OnqOPBNLWSHKh2a30DoXe8/edit?usp=sharing"",""สุราษฎร์ธานี!J530"")"),90)</f>
        <v>90</v>
      </c>
      <c r="K635" s="493">
        <f t="shared" ca="1" si="129"/>
        <v>90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IFERROR(__xludf.DUMMYFUNCTION("IMPORTRANGE(""https://docs.google.com/spreadsheets/d/1IYY_tgx_IHuhSq3AJ5eI5OnqOPBNLWSHKh2a30DoXe8/edit?usp=sharing"",""สุราษฎร์ธานี!J541"")"),0)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IFERROR(__xludf.DUMMYFUNCTION("IMPORTRANGE(""https://docs.google.com/spreadsheets/d/1IYY_tgx_IHuhSq3AJ5eI5OnqOPBNLWSHKh2a30DoXe8/edit?usp=sharing"",""สุราษฎร์ธานี!J542"")"),0)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IFERROR(__xludf.DUMMYFUNCTION("IMPORTRANGE(""https://docs.google.com/spreadsheets/d/1IYY_tgx_IHuhSq3AJ5eI5OnqOPBNLWSHKh2a30DoXe8/edit?usp=sharing"",""สุราษฎร์ธานี!I543"")"),0)</f>
        <v>0</v>
      </c>
      <c r="J648" s="547">
        <f ca="1">IFERROR(__xludf.DUMMYFUNCTION("IMPORTRANGE(""https://docs.google.com/spreadsheets/d/1IYY_tgx_IHuhSq3AJ5eI5OnqOPBNLWSHKh2a30DoXe8/edit?usp=sharing"",""สุราษฎร์ธานี!J543"")"),0)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IFERROR(__xludf.DUMMYFUNCTION("IMPORTRANGE(""https://docs.google.com/spreadsheets/d/1IYY_tgx_IHuhSq3AJ5eI5OnqOPBNLWSHKh2a30DoXe8/edit?usp=sharing"",""สุราษฎร์ธานี!L543"")"),0)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IFERROR(__xludf.DUMMYFUNCTION("IMPORTRANGE(""https://docs.google.com/spreadsheets/d/1IYY_tgx_IHuhSq3AJ5eI5OnqOPBNLWSHKh2a30DoXe8/edit?usp=sharing"",""สุราษฎร์ธานี!M543"")"),0)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IFERROR(__xludf.DUMMYFUNCTION("IMPORTRANGE(""https://docs.google.com/spreadsheets/d/1IYY_tgx_IHuhSq3AJ5eI5OnqOPBNLWSHKh2a30DoXe8/edit?usp=sharing"",""สุราษฎร์ธานี!I544"")"),0)</f>
        <v>0</v>
      </c>
      <c r="J649" s="547">
        <f ca="1">IFERROR(__xludf.DUMMYFUNCTION("IMPORTRANGE(""https://docs.google.com/spreadsheets/d/1IYY_tgx_IHuhSq3AJ5eI5OnqOPBNLWSHKh2a30DoXe8/edit?usp=sharing"",""สุราษฎร์ธานี!J544"")"),0)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IFERROR(__xludf.DUMMYFUNCTION("IMPORTRANGE(""https://docs.google.com/spreadsheets/d/1IYY_tgx_IHuhSq3AJ5eI5OnqOPBNLWSHKh2a30DoXe8/edit?usp=sharing"",""สุราษฎร์ธานี!L544"")"),0)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IFERROR(__xludf.DUMMYFUNCTION("IMPORTRANGE(""https://docs.google.com/spreadsheets/d/1IYY_tgx_IHuhSq3AJ5eI5OnqOPBNLWSHKh2a30DoXe8/edit?usp=sharing"",""สุราษฎร์ธานี!M544"")"),0)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IFERROR(__xludf.DUMMYFUNCTION("IMPORTRANGE(""https://docs.google.com/spreadsheets/d/1IYY_tgx_IHuhSq3AJ5eI5OnqOPBNLWSHKh2a30DoXe8/edit?usp=sharing"",""สุราษฎร์ธานี!I545"")"),0)</f>
        <v>0</v>
      </c>
      <c r="J650" s="547">
        <f ca="1">IFERROR(__xludf.DUMMYFUNCTION("IMPORTRANGE(""https://docs.google.com/spreadsheets/d/1IYY_tgx_IHuhSq3AJ5eI5OnqOPBNLWSHKh2a30DoXe8/edit?usp=sharing"",""สุราษฎร์ธานี!J545"")"),0)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IFERROR(__xludf.DUMMYFUNCTION("IMPORTRANGE(""https://docs.google.com/spreadsheets/d/1IYY_tgx_IHuhSq3AJ5eI5OnqOPBNLWSHKh2a30DoXe8/edit?usp=sharing"",""สุราษฎร์ธานี!L545"")"),0)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IFERROR(__xludf.DUMMYFUNCTION("IMPORTRANGE(""https://docs.google.com/spreadsheets/d/1IYY_tgx_IHuhSq3AJ5eI5OnqOPBNLWSHKh2a30DoXe8/edit?usp=sharing"",""สุราษฎร์ธานี!M545"")"),0)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IFERROR(__xludf.DUMMYFUNCTION("IMPORTRANGE(""https://docs.google.com/spreadsheets/d/1IYY_tgx_IHuhSq3AJ5eI5OnqOPBNLWSHKh2a30DoXe8/edit?usp=sharing"",""สุราษฎร์ธานี!I546"")"),0)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IFERROR(__xludf.DUMMYFUNCTION("IMPORTRANGE(""https://docs.google.com/spreadsheets/d/1IYY_tgx_IHuhSq3AJ5eI5OnqOPBNLWSHKh2a30DoXe8/edit?usp=sharing"",""สุราษฎร์ธานี!L546"")"),0)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IFERROR(__xludf.DUMMYFUNCTION("IMPORTRANGE(""https://docs.google.com/spreadsheets/d/1IYY_tgx_IHuhSq3AJ5eI5OnqOPBNLWSHKh2a30DoXe8/edit?usp=sharing"",""สุราษฎร์ธานี!M546"")"),0)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IFERROR(__xludf.DUMMYFUNCTION("IMPORTRANGE(""https://docs.google.com/spreadsheets/d/1IYY_tgx_IHuhSq3AJ5eI5OnqOPBNLWSHKh2a30DoXe8/edit?usp=sharing"",""สุราษฎร์ธานี!J547"")"),0)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IFERROR(__xludf.DUMMYFUNCTION("IMPORTRANGE(""https://docs.google.com/spreadsheets/d/1IYY_tgx_IHuhSq3AJ5eI5OnqOPBNLWSHKh2a30DoXe8/edit?usp=sharing"",""สุราษฎร์ธานี!J548"")"),0)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IFERROR(__xludf.DUMMYFUNCTION("IMPORTRANGE(""https://docs.google.com/spreadsheets/d/1IYY_tgx_IHuhSq3AJ5eI5OnqOPBNLWSHKh2a30DoXe8/edit?usp=sharing"",""สุราษฎร์ธานี!J550"")"),0)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IFERROR(__xludf.DUMMYFUNCTION("IMPORTRANGE(""https://docs.google.com/spreadsheets/d/1IYY_tgx_IHuhSq3AJ5eI5OnqOPBNLWSHKh2a30DoXe8/edit?usp=sharing"",""สุราษฎร์ธานี!J551"")"),0)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IFERROR(__xludf.DUMMYFUNCTION("IMPORTRANGE(""https://docs.google.com/spreadsheets/d/1IYY_tgx_IHuhSq3AJ5eI5OnqOPBNLWSHKh2a30DoXe8/edit?usp=sharing"",""สุราษฎร์ธานี!J552"")"),0)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IFERROR(__xludf.DUMMYFUNCTION("IMPORTRANGE(""https://docs.google.com/spreadsheets/d/1IYY_tgx_IHuhSq3AJ5eI5OnqOPBNLWSHKh2a30DoXe8/edit?usp=sharing"",""สุราษฎร์ธานี!J553"")"),0)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IFERROR(__xludf.DUMMYFUNCTION("IMPORTRANGE(""https://docs.google.com/spreadsheets/d/1IYY_tgx_IHuhSq3AJ5eI5OnqOPBNLWSHKh2a30DoXe8/edit?usp=sharing"",""สุราษฎร์ธานี!J554"")"),0)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IFERROR(__xludf.DUMMYFUNCTION("IMPORTRANGE(""https://docs.google.com/spreadsheets/d/1IYY_tgx_IHuhSq3AJ5eI5OnqOPBNLWSHKh2a30DoXe8/edit?usp=sharing"",""สุราษฎร์ธานี!J555"")"),0)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IFERROR(__xludf.DUMMYFUNCTION("IMPORTRANGE(""https://docs.google.com/spreadsheets/d/1IYY_tgx_IHuhSq3AJ5eI5OnqOPBNLWSHKh2a30DoXe8/edit?usp=sharing"",""สุราษฎร์ธานี!J556"")"),0)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IFERROR(__xludf.DUMMYFUNCTION("IMPORTRANGE(""https://docs.google.com/spreadsheets/d/1IYY_tgx_IHuhSq3AJ5eI5OnqOPBNLWSHKh2a30DoXe8/edit?usp=sharing"",""สุราษฎร์ธานี!L556"")"),0)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IFERROR(__xludf.DUMMYFUNCTION("IMPORTRANGE(""https://docs.google.com/spreadsheets/d/1IYY_tgx_IHuhSq3AJ5eI5OnqOPBNLWSHKh2a30DoXe8/edit?usp=sharing"",""สุราษฎร์ธานี!M556"")"),0)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IFERROR(__xludf.DUMMYFUNCTION("IMPORTRANGE(""https://docs.google.com/spreadsheets/d/1IYY_tgx_IHuhSq3AJ5eI5OnqOPBNLWSHKh2a30DoXe8/edit?usp=sharing"",""สุราษฎร์ธานี!J557"")"),0)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IFERROR(__xludf.DUMMYFUNCTION("IMPORTRANGE(""https://docs.google.com/spreadsheets/d/1IYY_tgx_IHuhSq3AJ5eI5OnqOPBNLWSHKh2a30DoXe8/edit?usp=sharing"",""สุราษฎร์ธานี!I558"")"),0)</f>
        <v>0</v>
      </c>
      <c r="J663" s="547">
        <f ca="1">IFERROR(__xludf.DUMMYFUNCTION("IMPORTRANGE(""https://docs.google.com/spreadsheets/d/1IYY_tgx_IHuhSq3AJ5eI5OnqOPBNLWSHKh2a30DoXe8/edit?usp=sharing"",""สุราษฎร์ธานี!J558"")"),0)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IFERROR(__xludf.DUMMYFUNCTION("IMPORTRANGE(""https://docs.google.com/spreadsheets/d/1IYY_tgx_IHuhSq3AJ5eI5OnqOPBNLWSHKh2a30DoXe8/edit?usp=sharing"",""สุราษฎร์ธานี!I560"")"),0)</f>
        <v>0</v>
      </c>
      <c r="J665" s="547">
        <f ca="1">IFERROR(__xludf.DUMMYFUNCTION("IMPORTRANGE(""https://docs.google.com/spreadsheets/d/1IYY_tgx_IHuhSq3AJ5eI5OnqOPBNLWSHKh2a30DoXe8/edit?usp=sharing"",""สุราษฎร์ธานี!J560"")"),0)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IFERROR(__xludf.DUMMYFUNCTION("IMPORTRANGE(""https://docs.google.com/spreadsheets/d/1IYY_tgx_IHuhSq3AJ5eI5OnqOPBNLWSHKh2a30DoXe8/edit?usp=sharing"",""สุราษฎร์ธานี!L560"")"),0)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IFERROR(__xludf.DUMMYFUNCTION("IMPORTRANGE(""https://docs.google.com/spreadsheets/d/1IYY_tgx_IHuhSq3AJ5eI5OnqOPBNLWSHKh2a30DoXe8/edit?usp=sharing"",""สุราษฎร์ธานี!M560"")"),0)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IFERROR(__xludf.DUMMYFUNCTION("IMPORTRANGE(""https://docs.google.com/spreadsheets/d/1IYY_tgx_IHuhSq3AJ5eI5OnqOPBNLWSHKh2a30DoXe8/edit?usp=sharing"",""สุราษฎร์ธานี!J561"")"),0)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IFERROR(__xludf.DUMMYFUNCTION("IMPORTRANGE(""https://docs.google.com/spreadsheets/d/1IYY_tgx_IHuhSq3AJ5eI5OnqOPBNLWSHKh2a30DoXe8/edit?usp=sharing"",""สุราษฎร์ธานี!J562"")"),0)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IFERROR(__xludf.DUMMYFUNCTION("IMPORTRANGE(""https://docs.google.com/spreadsheets/d/1IYY_tgx_IHuhSq3AJ5eI5OnqOPBNLWSHKh2a30DoXe8/edit?usp=sharing"",""สุราษฎร์ธานี!I563"")"),0)</f>
        <v>0</v>
      </c>
      <c r="J668" s="547">
        <f ca="1">IFERROR(__xludf.DUMMYFUNCTION("IMPORTRANGE(""https://docs.google.com/spreadsheets/d/1IYY_tgx_IHuhSq3AJ5eI5OnqOPBNLWSHKh2a30DoXe8/edit?usp=sharing"",""สุราษฎร์ธานี!J563"")"),0)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IFERROR(__xludf.DUMMYFUNCTION("IMPORTRANGE(""https://docs.google.com/spreadsheets/d/1IYY_tgx_IHuhSq3AJ5eI5OnqOPBNLWSHKh2a30DoXe8/edit?usp=sharing"",""สุราษฎร์ธานี!L563"")"),0)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IFERROR(__xludf.DUMMYFUNCTION("IMPORTRANGE(""https://docs.google.com/spreadsheets/d/1IYY_tgx_IHuhSq3AJ5eI5OnqOPBNLWSHKh2a30DoXe8/edit?usp=sharing"",""สุราษฎร์ธานี!M563"")"),0)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IFERROR(__xludf.DUMMYFUNCTION("IMPORTRANGE(""https://docs.google.com/spreadsheets/d/1IYY_tgx_IHuhSq3AJ5eI5OnqOPBNLWSHKh2a30DoXe8/edit?usp=sharing"",""สุราษฎร์ธานี!J564"")"),0)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IFERROR(__xludf.DUMMYFUNCTION("IMPORTRANGE(""https://docs.google.com/spreadsheets/d/1IYY_tgx_IHuhSq3AJ5eI5OnqOPBNLWSHKh2a30DoXe8/edit?usp=sharing"",""สุราษฎร์ธานี!J565"")"),0)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IFERROR(__xludf.DUMMYFUNCTION("IMPORTRANGE(""https://docs.google.com/spreadsheets/d/1IYY_tgx_IHuhSq3AJ5eI5OnqOPBNLWSHKh2a30DoXe8/edit?usp=sharing"",""สุราษฎร์ธานี!I566"")"),0)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IFERROR(__xludf.DUMMYFUNCTION("IMPORTRANGE(""https://docs.google.com/spreadsheets/d/1IYY_tgx_IHuhSq3AJ5eI5OnqOPBNLWSHKh2a30DoXe8/edit?usp=sharing"",""สุราษฎร์ธานี!L566"")"),0)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IFERROR(__xludf.DUMMYFUNCTION("IMPORTRANGE(""https://docs.google.com/spreadsheets/d/1IYY_tgx_IHuhSq3AJ5eI5OnqOPBNLWSHKh2a30DoXe8/edit?usp=sharing"",""สุราษฎร์ธานี!M566"")"),0)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IFERROR(__xludf.DUMMYFUNCTION("IMPORTRANGE(""https://docs.google.com/spreadsheets/d/1IYY_tgx_IHuhSq3AJ5eI5OnqOPBNLWSHKh2a30DoXe8/edit?usp=sharing"",""สุราษฎร์ธานี!J567"")"),0)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IFERROR(__xludf.DUMMYFUNCTION("IMPORTRANGE(""https://docs.google.com/spreadsheets/d/1IYY_tgx_IHuhSq3AJ5eI5OnqOPBNLWSHKh2a30DoXe8/edit?usp=sharing"",""สุราษฎร์ธานี!J568"")"),0)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IFERROR(__xludf.DUMMYFUNCTION("IMPORTRANGE(""https://docs.google.com/spreadsheets/d/1IYY_tgx_IHuhSq3AJ5eI5OnqOPBNLWSHKh2a30DoXe8/edit?usp=sharing"",""สุราษฎร์ธานี!J569"")"),0)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IFERROR(__xludf.DUMMYFUNCTION("IMPORTRANGE(""https://docs.google.com/spreadsheets/d/1IYY_tgx_IHuhSq3AJ5eI5OnqOPBNLWSHKh2a30DoXe8/edit?usp=sharing"",""สุราษฎร์ธานี!J570"")"),0)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IFERROR(__xludf.DUMMYFUNCTION("IMPORTRANGE(""https://docs.google.com/spreadsheets/d/1IYY_tgx_IHuhSq3AJ5eI5OnqOPBNLWSHKh2a30DoXe8/edit?usp=sharing"",""สุราษฎร์ธานี!J571"")"),0)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IFERROR(__xludf.DUMMYFUNCTION("IMPORTRANGE(""https://docs.google.com/spreadsheets/d/1IYY_tgx_IHuhSq3AJ5eI5OnqOPBNLWSHKh2a30DoXe8/edit?usp=sharing"",""สุราษฎร์ธานี!J572"")"),0)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260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10090228</v>
      </c>
      <c r="M8" s="23">
        <f t="shared" ca="1" si="0"/>
        <v>8938317</v>
      </c>
      <c r="N8" s="23">
        <f t="shared" ca="1" si="0"/>
        <v>3559111.9099999997</v>
      </c>
      <c r="O8" s="22">
        <f t="shared" ref="O8:O16" ca="1" si="1">IF(L8&gt;0,N8*100/L8,0)</f>
        <v>35.272859146493019</v>
      </c>
      <c r="P8" s="22">
        <f t="shared" ref="P8:P16" ca="1" si="2">IF(M8&gt;0,N8*100/M8,0)</f>
        <v>39.818591240386745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10090228</v>
      </c>
      <c r="M10" s="30">
        <f t="shared" ca="1" si="4"/>
        <v>8938317</v>
      </c>
      <c r="N10" s="30">
        <f t="shared" ca="1" si="4"/>
        <v>3559111.9099999997</v>
      </c>
      <c r="O10" s="29">
        <f t="shared" ca="1" si="1"/>
        <v>35.272859146493019</v>
      </c>
      <c r="P10" s="29">
        <f t="shared" ca="1" si="2"/>
        <v>39.818591240386745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4688658</v>
      </c>
      <c r="M12" s="38">
        <f t="shared" ca="1" si="6"/>
        <v>3536747</v>
      </c>
      <c r="N12" s="38">
        <f t="shared" ca="1" si="6"/>
        <v>3057541.9099999997</v>
      </c>
      <c r="O12" s="38">
        <f t="shared" ca="1" si="1"/>
        <v>65.211450909833886</v>
      </c>
      <c r="P12" s="38">
        <f t="shared" ca="1" si="2"/>
        <v>86.450682222957965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1878000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2810658</v>
      </c>
      <c r="M14" s="38">
        <f t="shared" si="8"/>
        <v>0</v>
      </c>
      <c r="N14" s="38">
        <f t="shared" ca="1" si="8"/>
        <v>499543.36</v>
      </c>
      <c r="O14" s="41">
        <f t="shared" ca="1" si="1"/>
        <v>17.773181938179601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5401570</v>
      </c>
      <c r="M16" s="38">
        <f t="shared" ca="1" si="10"/>
        <v>5401570</v>
      </c>
      <c r="N16" s="38">
        <f t="shared" ca="1" si="10"/>
        <v>501570</v>
      </c>
      <c r="O16" s="50">
        <f t="shared" ca="1" si="1"/>
        <v>9.2856336213360198</v>
      </c>
      <c r="P16" s="50">
        <f t="shared" ca="1" si="2"/>
        <v>9.2856336213360198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8813955</v>
      </c>
      <c r="M18" s="23">
        <f t="shared" ca="1" si="11"/>
        <v>8938317</v>
      </c>
      <c r="N18" s="23">
        <f t="shared" ca="1" si="11"/>
        <v>3059568.55</v>
      </c>
      <c r="O18" s="22">
        <f t="shared" ref="O18:O20" ca="1" si="12">IF(L18&gt;0,N18*100/L18,0)</f>
        <v>34.712777067729526</v>
      </c>
      <c r="P18" s="22">
        <f t="shared" ref="P18:P26" ca="1" si="13">IF(M18&gt;0,N18*100/M18,0)</f>
        <v>34.229805790060922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8813955</v>
      </c>
      <c r="M20" s="30">
        <f t="shared" ca="1" si="15"/>
        <v>8938317</v>
      </c>
      <c r="N20" s="30">
        <f t="shared" ca="1" si="15"/>
        <v>3059568.55</v>
      </c>
      <c r="O20" s="29">
        <f t="shared" ca="1" si="12"/>
        <v>34.712777067729526</v>
      </c>
      <c r="P20" s="29">
        <f t="shared" ca="1" si="13"/>
        <v>34.229805790060922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3412385</v>
      </c>
      <c r="M22" s="42">
        <f t="shared" ca="1" si="18"/>
        <v>3536747</v>
      </c>
      <c r="N22" s="41">
        <f t="shared" ca="1" si="18"/>
        <v>2557998.5499999998</v>
      </c>
      <c r="O22" s="41">
        <f t="shared" ca="1" si="17"/>
        <v>74.962190667231269</v>
      </c>
      <c r="P22" s="41">
        <f t="shared" ca="1" si="13"/>
        <v>72.326308610709205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1878000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1534385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5401570</v>
      </c>
      <c r="M26" s="50">
        <f t="shared" ca="1" si="22"/>
        <v>5401570</v>
      </c>
      <c r="N26" s="50">
        <f t="shared" ca="1" si="22"/>
        <v>501570</v>
      </c>
      <c r="O26" s="50">
        <f t="shared" ca="1" si="17"/>
        <v>9.2856336213360198</v>
      </c>
      <c r="P26" s="50">
        <f t="shared" ca="1" si="13"/>
        <v>9.2856336213360198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1276273</v>
      </c>
      <c r="M28" s="23">
        <f t="shared" si="23"/>
        <v>0</v>
      </c>
      <c r="N28" s="23">
        <f t="shared" ca="1" si="23"/>
        <v>499543.36</v>
      </c>
      <c r="O28" s="22">
        <f t="shared" ref="O28:O30" ca="1" si="24">IF(L28&gt;0,N28*100/L28,0)</f>
        <v>39.14079197789188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1276273</v>
      </c>
      <c r="M30" s="30">
        <f t="shared" si="27"/>
        <v>0</v>
      </c>
      <c r="N30" s="30">
        <f t="shared" ca="1" si="27"/>
        <v>499543.36</v>
      </c>
      <c r="O30" s="29">
        <f t="shared" ca="1" si="24"/>
        <v>39.14079197789188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1276273</v>
      </c>
      <c r="M32" s="41">
        <f t="shared" si="30"/>
        <v>0</v>
      </c>
      <c r="N32" s="41">
        <f t="shared" ca="1" si="30"/>
        <v>499543.36</v>
      </c>
      <c r="O32" s="41">
        <f t="shared" ca="1" si="29"/>
        <v>39.14079197789188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1276273</v>
      </c>
      <c r="M34" s="41">
        <f t="shared" si="32"/>
        <v>0</v>
      </c>
      <c r="N34" s="41">
        <f t="shared" ca="1" si="32"/>
        <v>499543.36</v>
      </c>
      <c r="O34" s="41">
        <f t="shared" ca="1" si="29"/>
        <v>39.14079197789188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8813955</v>
      </c>
      <c r="M37" s="55">
        <f t="shared" ca="1" si="33"/>
        <v>8938317</v>
      </c>
      <c r="N37" s="55">
        <f t="shared" ca="1" si="33"/>
        <v>3059568.55</v>
      </c>
      <c r="O37" s="56">
        <f t="shared" ca="1" si="29"/>
        <v>34.712777067729526</v>
      </c>
      <c r="P37" s="56">
        <f t="shared" ca="1" si="25"/>
        <v>34.229805790060922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651800</v>
      </c>
      <c r="M41" s="79">
        <f t="shared" ca="1" si="34"/>
        <v>683800</v>
      </c>
      <c r="N41" s="79">
        <f t="shared" ca="1" si="34"/>
        <v>493127.5</v>
      </c>
      <c r="O41" s="78">
        <f t="shared" ref="O41:O43" ca="1" si="35">IF(L41&gt;0,N41*100/L41,0)</f>
        <v>75.656259588830935</v>
      </c>
      <c r="P41" s="78">
        <f t="shared" ref="P41:P43" ca="1" si="36">IF(M41&gt;0,N41*100/M41,0)</f>
        <v>72.115750219362383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651800</v>
      </c>
      <c r="M43" s="79">
        <f t="shared" ca="1" si="38"/>
        <v>683800</v>
      </c>
      <c r="N43" s="79">
        <f t="shared" ca="1" si="38"/>
        <v>493127.5</v>
      </c>
      <c r="O43" s="78">
        <f t="shared" ca="1" si="35"/>
        <v>75.656259588830935</v>
      </c>
      <c r="P43" s="78">
        <f t="shared" ca="1" si="36"/>
        <v>72.115750219362383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651800</v>
      </c>
      <c r="M45" s="91">
        <f ca="1">IFERROR(__xludf.DUMMYFUNCTION("IMPORTRANGE(""https://docs.google.com/spreadsheets/d/1Yj_ptqi66GCucihVvJfMjLAmec39IyEx_6qawtMGysU/edit?usp=sharing"",""สบก!Q81"")"),683800)</f>
        <v>683800</v>
      </c>
      <c r="N45" s="91">
        <f ca="1">IFERROR(__xludf.DUMMYFUNCTION("IMPORTRANGE(""https://docs.google.com/spreadsheets/d/1Yj_ptqi66GCucihVvJfMjLAmec39IyEx_6qawtMGysU/edit?usp=sharing"",""สบก!R81"")"),493127.5)</f>
        <v>493127.5</v>
      </c>
      <c r="O45" s="92">
        <f ca="1">IF(L45&gt;0,N45*100/L45,0)</f>
        <v>75.656259588830935</v>
      </c>
      <c r="P45" s="92">
        <f ca="1">IF(M45&gt;0,N45*100/M45,0)</f>
        <v>72.115750219362383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IFERROR(__xludf.DUMMYFUNCTION("IMPORTRANGE(""https://docs.google.com/spreadsheets/d/1Yj_ptqi66GCucihVvJfMjLAmec39IyEx_6qawtMGysU/edit?usp=sharing"",""สบก!M81"")"),651800)</f>
        <v>651800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548464</v>
      </c>
      <c r="N53" s="125">
        <f t="shared" ca="1" si="39"/>
        <v>458294.3</v>
      </c>
      <c r="O53" s="124">
        <f t="shared" ref="O53:O55" ca="1" si="40">IF(L53&gt;0,N53*100/L53,0)</f>
        <v>76.382383333333337</v>
      </c>
      <c r="P53" s="124">
        <f t="shared" ref="P53:P55" ca="1" si="41">IF(M53&gt;0,N53*100/M53,0)</f>
        <v>83.559595524956976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548464</v>
      </c>
      <c r="N55" s="125">
        <f t="shared" ca="1" si="43"/>
        <v>458294.3</v>
      </c>
      <c r="O55" s="124">
        <f t="shared" ca="1" si="40"/>
        <v>76.382383333333337</v>
      </c>
      <c r="P55" s="124">
        <f t="shared" ca="1" si="41"/>
        <v>83.559595524956976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IFERROR(__xludf.DUMMYFUNCTION("IMPORTRANGE(""https://docs.google.com/spreadsheets/d/1Yj_ptqi66GCucihVvJfMjLAmec39IyEx_6qawtMGysU/edit?usp=sharing"",""สบก!Z81"")"),548464)</f>
        <v>548464</v>
      </c>
      <c r="N57" s="91">
        <f ca="1">IFERROR(__xludf.DUMMYFUNCTION("IMPORTRANGE(""https://docs.google.com/spreadsheets/d/1Yj_ptqi66GCucihVvJfMjLAmec39IyEx_6qawtMGysU/edit?usp=sharing"",""สบก!AA81"")"),458294.3)</f>
        <v>458294.3</v>
      </c>
      <c r="O57" s="92">
        <f ca="1">IF(L57&gt;0,N57*100/L57,0)</f>
        <v>76.382383333333337</v>
      </c>
      <c r="P57" s="92">
        <f ca="1">IF(M57&gt;0,N57*100/M57,0)</f>
        <v>83.559595524956976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IFERROR(__xludf.DUMMYFUNCTION("IMPORTRANGE(""https://docs.google.com/spreadsheets/d/1Yj_ptqi66GCucihVvJfMjLAmec39IyEx_6qawtMGysU/edit?usp=sharing"",""สบก!V81"")"),600000)</f>
        <v>600000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692200</v>
      </c>
      <c r="M66" s="156">
        <f t="shared" ca="1" si="45"/>
        <v>698820</v>
      </c>
      <c r="N66" s="156">
        <f t="shared" ca="1" si="45"/>
        <v>527006.49</v>
      </c>
      <c r="O66" s="155">
        <f t="shared" ref="O66:O68" ca="1" si="46">IF(L66&gt;0,N66*100/L66,0)</f>
        <v>76.135002889338338</v>
      </c>
      <c r="P66" s="155">
        <f t="shared" ref="P66:P68" ca="1" si="47">IF(M66&gt;0,N66*100/M66,0)</f>
        <v>75.413767493775225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692200</v>
      </c>
      <c r="M68" s="161">
        <f t="shared" ca="1" si="49"/>
        <v>698820</v>
      </c>
      <c r="N68" s="161">
        <f t="shared" ca="1" si="49"/>
        <v>527006.49</v>
      </c>
      <c r="O68" s="160">
        <f t="shared" ca="1" si="46"/>
        <v>76.135002889338338</v>
      </c>
      <c r="P68" s="160">
        <f t="shared" ca="1" si="47"/>
        <v>75.413767493775225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692200</v>
      </c>
      <c r="M70" s="173">
        <f ca="1">IFERROR(__xludf.DUMMYFUNCTION("IMPORTRANGE(""https://docs.google.com/spreadsheets/d/1Yj_ptqi66GCucihVvJfMjLAmec39IyEx_6qawtMGysU/edit?usp=sharing"",""สบก!AI81"")"),698820)</f>
        <v>698820</v>
      </c>
      <c r="N70" s="174">
        <f ca="1">IFERROR(__xludf.DUMMYFUNCTION("IMPORTRANGE(""https://docs.google.com/spreadsheets/d/1Yj_ptqi66GCucihVvJfMjLAmec39IyEx_6qawtMGysU/edit?usp=sharing"",""สบก!AJ81"")"),527006.49)</f>
        <v>527006.49</v>
      </c>
      <c r="O70" s="175">
        <f ca="1">IF(L70&gt;0,N70*100/L70,0)</f>
        <v>76.135002889338338</v>
      </c>
      <c r="P70" s="175">
        <f ca="1">IF(M70&gt;0,N70*100/M70,0)</f>
        <v>75.413767493775225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IFERROR(__xludf.DUMMYFUNCTION("IMPORTRANGE(""https://docs.google.com/spreadsheets/d/1Yj_ptqi66GCucihVvJfMjLAmec39IyEx_6qawtMGysU/edit?usp=sharing"",""สบก!AE81"")"),320200)</f>
        <v>320200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IFERROR(__xludf.DUMMYFUNCTION("IMPORTRANGE(""https://docs.google.com/spreadsheets/d/1Yj_ptqi66GCucihVvJfMjLAmec39IyEx_6qawtMGysU/edit?usp=sharing"",""สบก!AF81"")"),372000)</f>
        <v>372000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IFERROR(__xludf.DUMMYFUNCTION("IMPORTRANGE(""https://docs.google.com/spreadsheets/d/1IYY_tgx_IHuhSq3AJ5eI5OnqOPBNLWSHKh2a30DoXe8/edit?usp=sharing"",""กระบี่!J16"")"),0)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IFERROR(__xludf.DUMMYFUNCTION("IMPORTRANGE(""https://docs.google.com/spreadsheets/d/1IYY_tgx_IHuhSq3AJ5eI5OnqOPBNLWSHKh2a30DoXe8/edit?usp=sharing"",""กระบี่!J17"")"),1)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IFERROR(__xludf.DUMMYFUNCTION("IMPORTRANGE(""https://docs.google.com/spreadsheets/d/1IYY_tgx_IHuhSq3AJ5eI5OnqOPBNLWSHKh2a30DoXe8/edit?usp=sharing"",""กระบี่!J18"")"),1)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IFERROR(__xludf.DUMMYFUNCTION("IMPORTRANGE(""https://docs.google.com/spreadsheets/d/1IYY_tgx_IHuhSq3AJ5eI5OnqOPBNLWSHKh2a30DoXe8/edit?usp=sharing"",""กระบี่!J19"")"),1)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IFERROR(__xludf.DUMMYFUNCTION("IMPORTRANGE(""https://docs.google.com/spreadsheets/d/1IYY_tgx_IHuhSq3AJ5eI5OnqOPBNLWSHKh2a30DoXe8/edit?usp=sharing"",""กระบี่!I20"")"),1)</f>
        <v>1</v>
      </c>
      <c r="J80" s="207">
        <f ca="1">IFERROR(__xludf.DUMMYFUNCTION("IMPORTRANGE(""https://docs.google.com/spreadsheets/d/1IYY_tgx_IHuhSq3AJ5eI5OnqOPBNLWSHKh2a30DoXe8/edit?usp=sharing"",""กระบี่!J20"")"),1)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IFERROR(__xludf.DUMMYFUNCTION("IMPORTRANGE(""https://docs.google.com/spreadsheets/d/1IYY_tgx_IHuhSq3AJ5eI5OnqOPBNLWSHKh2a30DoXe8/edit?usp=sharing"",""กระบี่!I21"")"),30)</f>
        <v>30</v>
      </c>
      <c r="J81" s="207">
        <f ca="1">IFERROR(__xludf.DUMMYFUNCTION("IMPORTRANGE(""https://docs.google.com/spreadsheets/d/1IYY_tgx_IHuhSq3AJ5eI5OnqOPBNLWSHKh2a30DoXe8/edit?usp=sharing"",""กระบี่!J21"")"),30)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IFERROR(__xludf.DUMMYFUNCTION("IMPORTRANGE(""https://docs.google.com/spreadsheets/d/1IYY_tgx_IHuhSq3AJ5eI5OnqOPBNLWSHKh2a30DoXe8/edit?usp=sharing"",""กระบี่!I22"")"),0)</f>
        <v>0</v>
      </c>
      <c r="J82" s="210">
        <f ca="1">IFERROR(__xludf.DUMMYFUNCTION("IMPORTRANGE(""https://docs.google.com/spreadsheets/d/1IYY_tgx_IHuhSq3AJ5eI5OnqOPBNLWSHKh2a30DoXe8/edit?usp=sharing"",""กระบี่!J22"")"),0)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IFERROR(__xludf.DUMMYFUNCTION("IMPORTRANGE(""https://docs.google.com/spreadsheets/d/1IYY_tgx_IHuhSq3AJ5eI5OnqOPBNLWSHKh2a30DoXe8/edit?usp=sharing"",""กระบี่!I23"")"),0)</f>
        <v>0</v>
      </c>
      <c r="J83" s="210">
        <f ca="1">IFERROR(__xludf.DUMMYFUNCTION("IMPORTRANGE(""https://docs.google.com/spreadsheets/d/1IYY_tgx_IHuhSq3AJ5eI5OnqOPBNLWSHKh2a30DoXe8/edit?usp=sharing"",""กระบี่!J23"")"),0)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IFERROR(__xludf.DUMMYFUNCTION("IMPORTRANGE(""https://docs.google.com/spreadsheets/d/1IYY_tgx_IHuhSq3AJ5eI5OnqOPBNLWSHKh2a30DoXe8/edit?usp=sharing"",""กระบี่!I24"")"),1)</f>
        <v>1</v>
      </c>
      <c r="J84" s="195">
        <f ca="1">IFERROR(__xludf.DUMMYFUNCTION("IMPORTRANGE(""https://docs.google.com/spreadsheets/d/1IYY_tgx_IHuhSq3AJ5eI5OnqOPBNLWSHKh2a30DoXe8/edit?usp=sharing"",""กระบี่!J24"")"),1)</f>
        <v>1</v>
      </c>
      <c r="K84" s="167">
        <f t="shared" ca="1" si="50"/>
        <v>100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IFERROR(__xludf.DUMMYFUNCTION("IMPORTRANGE(""https://docs.google.com/spreadsheets/d/1IYY_tgx_IHuhSq3AJ5eI5OnqOPBNLWSHKh2a30DoXe8/edit?usp=sharing"",""กระบี่!I25"")"),30)</f>
        <v>30</v>
      </c>
      <c r="J85" s="195">
        <f ca="1">IFERROR(__xludf.DUMMYFUNCTION("IMPORTRANGE(""https://docs.google.com/spreadsheets/d/1IYY_tgx_IHuhSq3AJ5eI5OnqOPBNLWSHKh2a30DoXe8/edit?usp=sharing"",""กระบี่!J25"")"),30)</f>
        <v>30</v>
      </c>
      <c r="K85" s="167">
        <f t="shared" ca="1" si="50"/>
        <v>100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IFERROR(__xludf.DUMMYFUNCTION("IMPORTRANGE(""https://docs.google.com/spreadsheets/d/1IYY_tgx_IHuhSq3AJ5eI5OnqOPBNLWSHKh2a30DoXe8/edit?usp=sharing"",""กระบี่!I26"")"),0)</f>
        <v>0</v>
      </c>
      <c r="J86" s="210">
        <f ca="1">IFERROR(__xludf.DUMMYFUNCTION("IMPORTRANGE(""https://docs.google.com/spreadsheets/d/1IYY_tgx_IHuhSq3AJ5eI5OnqOPBNLWSHKh2a30DoXe8/edit?usp=sharing"",""กระบี่!J26"")"),0)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IFERROR(__xludf.DUMMYFUNCTION("IMPORTRANGE(""https://docs.google.com/spreadsheets/d/1IYY_tgx_IHuhSq3AJ5eI5OnqOPBNLWSHKh2a30DoXe8/edit?usp=sharing"",""กระบี่!I27"")"),0)</f>
        <v>0</v>
      </c>
      <c r="J87" s="210">
        <f ca="1">IFERROR(__xludf.DUMMYFUNCTION("IMPORTRANGE(""https://docs.google.com/spreadsheets/d/1IYY_tgx_IHuhSq3AJ5eI5OnqOPBNLWSHKh2a30DoXe8/edit?usp=sharing"",""กระบี่!J27"")"),0)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IFERROR(__xludf.DUMMYFUNCTION("IMPORTRANGE(""https://docs.google.com/spreadsheets/d/1IYY_tgx_IHuhSq3AJ5eI5OnqOPBNLWSHKh2a30DoXe8/edit?usp=sharing"",""กระบี่!I28"")"),1)</f>
        <v>1</v>
      </c>
      <c r="J88" s="210">
        <f ca="1">IFERROR(__xludf.DUMMYFUNCTION("IMPORTRANGE(""https://docs.google.com/spreadsheets/d/1IYY_tgx_IHuhSq3AJ5eI5OnqOPBNLWSHKh2a30DoXe8/edit?usp=sharing"",""กระบี่!J28"")"),0)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IFERROR(__xludf.DUMMYFUNCTION("IMPORTRANGE(""https://docs.google.com/spreadsheets/d/1IYY_tgx_IHuhSq3AJ5eI5OnqOPBNLWSHKh2a30DoXe8/edit?usp=sharing"",""กระบี่!J29"")"),0)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IFERROR(__xludf.DUMMYFUNCTION("IMPORTRANGE(""https://docs.google.com/spreadsheets/d/1IYY_tgx_IHuhSq3AJ5eI5OnqOPBNLWSHKh2a30DoXe8/edit?usp=sharing"",""กระบี่!J30"")"),0)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IFERROR(__xludf.DUMMYFUNCTION("IMPORTRANGE(""https://docs.google.com/spreadsheets/d/1Yj_ptqi66GCucihVvJfMjLAmec39IyEx_6qawtMGysU/edit?usp=sharing"",""สบก!AR81"")"),0)</f>
        <v>0</v>
      </c>
      <c r="N98" s="174">
        <f ca="1">IFERROR(__xludf.DUMMYFUNCTION("IMPORTRANGE(""https://docs.google.com/spreadsheets/d/1Yj_ptqi66GCucihVvJfMjLAmec39IyEx_6qawtMGysU/edit?usp=sharing"",""สบก!AS81"")"),0)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IFERROR(__xludf.DUMMYFUNCTION("IMPORTRANGE(""https://docs.google.com/spreadsheets/d/1Yj_ptqi66GCucihVvJfMjLAmec39IyEx_6qawtMGysU/edit?usp=sharing"",""สบก!AN81"")"),0)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IFERROR(__xludf.DUMMYFUNCTION("IMPORTRANGE(""https://docs.google.com/spreadsheets/d/1Yj_ptqi66GCucihVvJfMjLAmec39IyEx_6qawtMGysU/edit?usp=sharing"",""สบก!AO81"")"),0)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IFERROR(__xludf.DUMMYFUNCTION("IMPORTRANGE(""https://docs.google.com/spreadsheets/d/1IYY_tgx_IHuhSq3AJ5eI5OnqOPBNLWSHKh2a30DoXe8/edit?usp=sharing"",""กระบี่!J39"")"),0)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IFERROR(__xludf.DUMMYFUNCTION("IMPORTRANGE(""https://docs.google.com/spreadsheets/d/1IYY_tgx_IHuhSq3AJ5eI5OnqOPBNLWSHKh2a30DoXe8/edit?usp=sharing"",""กระบี่!J40"")"),0)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IFERROR(__xludf.DUMMYFUNCTION("IMPORTRANGE(""https://docs.google.com/spreadsheets/d/1IYY_tgx_IHuhSq3AJ5eI5OnqOPBNLWSHKh2a30DoXe8/edit?usp=sharing"",""กระบี่!J41"")"),0)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IFERROR(__xludf.DUMMYFUNCTION("IMPORTRANGE(""https://docs.google.com/spreadsheets/d/1IYY_tgx_IHuhSq3AJ5eI5OnqOPBNLWSHKh2a30DoXe8/edit?usp=sharing"",""กระบี่!J42"")"),0)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IFERROR(__xludf.DUMMYFUNCTION("IMPORTRANGE(""https://docs.google.com/spreadsheets/d/1IYY_tgx_IHuhSq3AJ5eI5OnqOPBNLWSHKh2a30DoXe8/edit?usp=sharing"",""กระบี่!I43"")"),0)</f>
        <v>0</v>
      </c>
      <c r="J108" s="210">
        <f ca="1">IFERROR(__xludf.DUMMYFUNCTION("IMPORTRANGE(""https://docs.google.com/spreadsheets/d/1IYY_tgx_IHuhSq3AJ5eI5OnqOPBNLWSHKh2a30DoXe8/edit?usp=sharing"",""กระบี่!J43"")"),0)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IFERROR(__xludf.DUMMYFUNCTION("IMPORTRANGE(""https://docs.google.com/spreadsheets/d/1IYY_tgx_IHuhSq3AJ5eI5OnqOPBNLWSHKh2a30DoXe8/edit?usp=sharing"",""กระบี่!I44"")"),0)</f>
        <v>0</v>
      </c>
      <c r="J109" s="210">
        <f ca="1">IFERROR(__xludf.DUMMYFUNCTION("IMPORTRANGE(""https://docs.google.com/spreadsheets/d/1IYY_tgx_IHuhSq3AJ5eI5OnqOPBNLWSHKh2a30DoXe8/edit?usp=sharing"",""กระบี่!J44"")"),0)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IFERROR(__xludf.DUMMYFUNCTION("IMPORTRANGE(""https://docs.google.com/spreadsheets/d/1IYY_tgx_IHuhSq3AJ5eI5OnqOPBNLWSHKh2a30DoXe8/edit?usp=sharing"",""กระบี่!I45"")"),0)</f>
        <v>0</v>
      </c>
      <c r="J110" s="210">
        <f ca="1">IFERROR(__xludf.DUMMYFUNCTION("IMPORTRANGE(""https://docs.google.com/spreadsheets/d/1IYY_tgx_IHuhSq3AJ5eI5OnqOPBNLWSHKh2a30DoXe8/edit?usp=sharing"",""กระบี่!J45"")"),0)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IFERROR(__xludf.DUMMYFUNCTION("IMPORTRANGE(""https://docs.google.com/spreadsheets/d/1IYY_tgx_IHuhSq3AJ5eI5OnqOPBNLWSHKh2a30DoXe8/edit?usp=sharing"",""กระบี่!I46"")"),0)</f>
        <v>0</v>
      </c>
      <c r="J111" s="210">
        <f ca="1">IFERROR(__xludf.DUMMYFUNCTION("IMPORTRANGE(""https://docs.google.com/spreadsheets/d/1IYY_tgx_IHuhSq3AJ5eI5OnqOPBNLWSHKh2a30DoXe8/edit?usp=sharing"",""กระบี่!J46"")"),0)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IFERROR(__xludf.DUMMYFUNCTION("IMPORTRANGE(""https://docs.google.com/spreadsheets/d/1IYY_tgx_IHuhSq3AJ5eI5OnqOPBNLWSHKh2a30DoXe8/edit?usp=sharing"",""กระบี่!I47"")"),0)</f>
        <v>0</v>
      </c>
      <c r="J112" s="210">
        <f ca="1">IFERROR(__xludf.DUMMYFUNCTION("IMPORTRANGE(""https://docs.google.com/spreadsheets/d/1IYY_tgx_IHuhSq3AJ5eI5OnqOPBNLWSHKh2a30DoXe8/edit?usp=sharing"",""กระบี่!J47"")"),0)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IFERROR(__xludf.DUMMYFUNCTION("IMPORTRANGE(""https://docs.google.com/spreadsheets/d/1IYY_tgx_IHuhSq3AJ5eI5OnqOPBNLWSHKh2a30DoXe8/edit?usp=sharing"",""กระบี่!I48"")"),0)</f>
        <v>0</v>
      </c>
      <c r="J113" s="210">
        <f ca="1">IFERROR(__xludf.DUMMYFUNCTION("IMPORTRANGE(""https://docs.google.com/spreadsheets/d/1IYY_tgx_IHuhSq3AJ5eI5OnqOPBNLWSHKh2a30DoXe8/edit?usp=sharing"",""กระบี่!J48"")"),0)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IFERROR(__xludf.DUMMYFUNCTION("IMPORTRANGE(""https://docs.google.com/spreadsheets/d/1IYY_tgx_IHuhSq3AJ5eI5OnqOPBNLWSHKh2a30DoXe8/edit?usp=sharing"",""กระบี่!J49"")"),0)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IFERROR(__xludf.DUMMYFUNCTION("IMPORTRANGE(""https://docs.google.com/spreadsheets/d/1IYY_tgx_IHuhSq3AJ5eI5OnqOPBNLWSHKh2a30DoXe8/edit?usp=sharing"",""กระบี่!J50"")"),0)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23078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23078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IFERROR(__xludf.DUMMYFUNCTION("IMPORTRANGE(""https://docs.google.com/spreadsheets/d/1Yj_ptqi66GCucihVvJfMjLAmec39IyEx_6qawtMGysU/edit?usp=sharing"",""สบก!BA81"")"),23078)</f>
        <v>23078</v>
      </c>
      <c r="N122" s="174">
        <f ca="1">IFERROR(__xludf.DUMMYFUNCTION("IMPORTRANGE(""https://docs.google.com/spreadsheets/d/1Yj_ptqi66GCucihVvJfMjLAmec39IyEx_6qawtMGysU/edit?usp=sharing"",""สบก!BB81"")"),0)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IFERROR(__xludf.DUMMYFUNCTION("IMPORTRANGE(""https://docs.google.com/spreadsheets/d/1Yj_ptqi66GCucihVvJfMjLAmec39IyEx_6qawtMGysU/edit?usp=sharing"",""สบก!AW81"")"),0)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IFERROR(__xludf.DUMMYFUNCTION("IMPORTRANGE(""https://docs.google.com/spreadsheets/d/1Yj_ptqi66GCucihVvJfMjLAmec39IyEx_6qawtMGysU/edit?usp=sharing"",""สบก!AX81"")"),0)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IFERROR(__xludf.DUMMYFUNCTION("IMPORTRANGE(""https://docs.google.com/spreadsheets/d/1IYY_tgx_IHuhSq3AJ5eI5OnqOPBNLWSHKh2a30DoXe8/edit?usp=sharing"",""กระบี่!J58"")"),0)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IFERROR(__xludf.DUMMYFUNCTION("IMPORTRANGE(""https://docs.google.com/spreadsheets/d/1IYY_tgx_IHuhSq3AJ5eI5OnqOPBNLWSHKh2a30DoXe8/edit?usp=sharing"",""กระบี่!J59"")"),0)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IFERROR(__xludf.DUMMYFUNCTION("IMPORTRANGE(""https://docs.google.com/spreadsheets/d/1IYY_tgx_IHuhSq3AJ5eI5OnqOPBNLWSHKh2a30DoXe8/edit?usp=sharing"",""กระบี่!J60"")"),0)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IFERROR(__xludf.DUMMYFUNCTION("IMPORTRANGE(""https://docs.google.com/spreadsheets/d/1IYY_tgx_IHuhSq3AJ5eI5OnqOPBNLWSHKh2a30DoXe8/edit?usp=sharing"",""กระบี่!J61"")"),0)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IFERROR(__xludf.DUMMYFUNCTION("IMPORTRANGE(""https://docs.google.com/spreadsheets/d/1IYY_tgx_IHuhSq3AJ5eI5OnqOPBNLWSHKh2a30DoXe8/edit?usp=sharing"",""กระบี่!I62"")"),0)</f>
        <v>0</v>
      </c>
      <c r="J132" s="210">
        <f ca="1">IFERROR(__xludf.DUMMYFUNCTION("IMPORTRANGE(""https://docs.google.com/spreadsheets/d/1IYY_tgx_IHuhSq3AJ5eI5OnqOPBNLWSHKh2a30DoXe8/edit?usp=sharing"",""กระบี่!J62"")"),0)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IFERROR(__xludf.DUMMYFUNCTION("IMPORTRANGE(""https://docs.google.com/spreadsheets/d/1IYY_tgx_IHuhSq3AJ5eI5OnqOPBNLWSHKh2a30DoXe8/edit?usp=sharing"",""กระบี่!I63"")"),0)</f>
        <v>0</v>
      </c>
      <c r="J133" s="210">
        <f ca="1">IFERROR(__xludf.DUMMYFUNCTION("IMPORTRANGE(""https://docs.google.com/spreadsheets/d/1IYY_tgx_IHuhSq3AJ5eI5OnqOPBNLWSHKh2a30DoXe8/edit?usp=sharing"",""กระบี่!J63"")"),0)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IFERROR(__xludf.DUMMYFUNCTION("IMPORTRANGE(""https://docs.google.com/spreadsheets/d/1IYY_tgx_IHuhSq3AJ5eI5OnqOPBNLWSHKh2a30DoXe8/edit?usp=sharing"",""กระบี่!J64"")"),0)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IFERROR(__xludf.DUMMYFUNCTION("IMPORTRANGE(""https://docs.google.com/spreadsheets/d/1IYY_tgx_IHuhSq3AJ5eI5OnqOPBNLWSHKh2a30DoXe8/edit?usp=sharing"",""กระบี่!J65"")"),0)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IFERROR(__xludf.DUMMYFUNCTION("IMPORTRANGE(""https://docs.google.com/spreadsheets/d/1IYY_tgx_IHuhSq3AJ5eI5OnqOPBNLWSHKh2a30DoXe8/edit?usp=sharing"",""กระบี่!I68"")"),15)</f>
        <v>15</v>
      </c>
      <c r="J138" s="273">
        <f ca="1">IFERROR(__xludf.DUMMYFUNCTION("IMPORTRANGE(""https://docs.google.com/spreadsheets/d/1IYY_tgx_IHuhSq3AJ5eI5OnqOPBNLWSHKh2a30DoXe8/edit?usp=sharing"",""กระบี่!J68"")"),15)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70000</v>
      </c>
      <c r="M140" s="156">
        <f t="shared" ca="1" si="64"/>
        <v>70000</v>
      </c>
      <c r="N140" s="156">
        <f t="shared" ca="1" si="64"/>
        <v>56952</v>
      </c>
      <c r="O140" s="155">
        <f t="shared" ref="O140:O142" ca="1" si="65">IF(L140&gt;0,N140*100/L140,0)</f>
        <v>81.36</v>
      </c>
      <c r="P140" s="155">
        <f t="shared" ref="P140:P142" ca="1" si="66">IF(M140&gt;0,N140*100/M140,0)</f>
        <v>81.36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70000</v>
      </c>
      <c r="M142" s="161">
        <f t="shared" ca="1" si="68"/>
        <v>70000</v>
      </c>
      <c r="N142" s="161">
        <f t="shared" ca="1" si="68"/>
        <v>56952</v>
      </c>
      <c r="O142" s="160">
        <f t="shared" ca="1" si="65"/>
        <v>81.36</v>
      </c>
      <c r="P142" s="160">
        <f t="shared" ca="1" si="66"/>
        <v>81.36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70000</v>
      </c>
      <c r="M144" s="173">
        <f ca="1">IFERROR(__xludf.DUMMYFUNCTION("IMPORTRANGE(""https://docs.google.com/spreadsheets/d/1Yj_ptqi66GCucihVvJfMjLAmec39IyEx_6qawtMGysU/edit?usp=sharing"",""สบก!BJ81"")"),70000)</f>
        <v>70000</v>
      </c>
      <c r="N144" s="174">
        <f ca="1">IFERROR(__xludf.DUMMYFUNCTION("IMPORTRANGE(""https://docs.google.com/spreadsheets/d/1Yj_ptqi66GCucihVvJfMjLAmec39IyEx_6qawtMGysU/edit?usp=sharing"",""สบก!BK81"")"),56952)</f>
        <v>56952</v>
      </c>
      <c r="O144" s="175">
        <f ca="1">IF(L144&gt;0,N144*100/L144,0)</f>
        <v>81.36</v>
      </c>
      <c r="P144" s="175">
        <f ca="1">IF(M144&gt;0,N144*100/M144,0)</f>
        <v>81.36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IFERROR(__xludf.DUMMYFUNCTION("IMPORTRANGE(""https://docs.google.com/spreadsheets/d/1Yj_ptqi66GCucihVvJfMjLAmec39IyEx_6qawtMGysU/edit?usp=sharing"",""สบก!BF81"")"),0)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IFERROR(__xludf.DUMMYFUNCTION("IMPORTRANGE(""https://docs.google.com/spreadsheets/d/1Yj_ptqi66GCucihVvJfMjLAmec39IyEx_6qawtMGysU/edit?usp=sharing"",""สบก!BG81"")"),70000)</f>
        <v>70000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IFERROR(__xludf.DUMMYFUNCTION("IMPORTRANGE(""https://docs.google.com/spreadsheets/d/1IYY_tgx_IHuhSq3AJ5eI5OnqOPBNLWSHKh2a30DoXe8/edit?usp=sharing"",""กระบี่!I74"")"),4)</f>
        <v>4</v>
      </c>
      <c r="J149" s="281">
        <f ca="1">IFERROR(__xludf.DUMMYFUNCTION("IMPORTRANGE(""https://docs.google.com/spreadsheets/d/1IYY_tgx_IHuhSq3AJ5eI5OnqOPBNLWSHKh2a30DoXe8/edit?usp=sharing"",""กระบี่!J74"")"),2)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IFERROR(__xludf.DUMMYFUNCTION("IMPORTRANGE(""https://docs.google.com/spreadsheets/d/1IYY_tgx_IHuhSq3AJ5eI5OnqOPBNLWSHKh2a30DoXe8/edit?usp=sharing"",""กระบี่!J79"")"),0)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IFERROR(__xludf.DUMMYFUNCTION("IMPORTRANGE(""https://docs.google.com/spreadsheets/d/1IYY_tgx_IHuhSq3AJ5eI5OnqOPBNLWSHKh2a30DoXe8/edit?usp=sharing"",""กระบี่!J80"")"),1)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IFERROR(__xludf.DUMMYFUNCTION("IMPORTRANGE(""https://docs.google.com/spreadsheets/d/1IYY_tgx_IHuhSq3AJ5eI5OnqOPBNLWSHKh2a30DoXe8/edit?usp=sharing"",""กระบี่!J81"")"),1)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IFERROR(__xludf.DUMMYFUNCTION("IMPORTRANGE(""https://docs.google.com/spreadsheets/d/1IYY_tgx_IHuhSq3AJ5eI5OnqOPBNLWSHKh2a30DoXe8/edit?usp=sharing"",""กระบี่!J82"")"),1)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IFERROR(__xludf.DUMMYFUNCTION("IMPORTRANGE(""https://docs.google.com/spreadsheets/d/1IYY_tgx_IHuhSq3AJ5eI5OnqOPBNLWSHKh2a30DoXe8/edit?usp=sharing"",""กระบี่!I83"")"),4)</f>
        <v>4</v>
      </c>
      <c r="J158" s="195">
        <f ca="1">IFERROR(__xludf.DUMMYFUNCTION("IMPORTRANGE(""https://docs.google.com/spreadsheets/d/1IYY_tgx_IHuhSq3AJ5eI5OnqOPBNLWSHKh2a30DoXe8/edit?usp=sharing"",""กระบี่!J83"")"),2)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IFERROR(__xludf.DUMMYFUNCTION("IMPORTRANGE(""https://docs.google.com/spreadsheets/d/1IYY_tgx_IHuhSq3AJ5eI5OnqOPBNLWSHKh2a30DoXe8/edit?usp=sharing"",""กระบี่!J84"")"),22)</f>
        <v>22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IFERROR(__xludf.DUMMYFUNCTION("IMPORTRANGE(""https://docs.google.com/spreadsheets/d/1IYY_tgx_IHuhSq3AJ5eI5OnqOPBNLWSHKh2a30DoXe8/edit?usp=sharing"",""กระบี่!J85"")"),22)</f>
        <v>22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IFERROR(__xludf.DUMMYFUNCTION("IMPORTRANGE(""https://docs.google.com/spreadsheets/d/1IYY_tgx_IHuhSq3AJ5eI5OnqOPBNLWSHKh2a30DoXe8/edit?usp=sharing"",""กระบี่!J87"")"),0)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IFERROR(__xludf.DUMMYFUNCTION("IMPORTRANGE(""https://docs.google.com/spreadsheets/d/1IYY_tgx_IHuhSq3AJ5eI5OnqOPBNLWSHKh2a30DoXe8/edit?usp=sharing"",""กระบี่!J88"")"),0)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IFERROR(__xludf.DUMMYFUNCTION("IMPORTRANGE(""https://docs.google.com/spreadsheets/d/1IYY_tgx_IHuhSq3AJ5eI5OnqOPBNLWSHKh2a30DoXe8/edit?usp=sharing"",""กระบี่!J94"")"),0)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IFERROR(__xludf.DUMMYFUNCTION("IMPORTRANGE(""https://docs.google.com/spreadsheets/d/1IYY_tgx_IHuhSq3AJ5eI5OnqOPBNLWSHKh2a30DoXe8/edit?usp=sharing"",""กระบี่!J95"")"),1)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IFERROR(__xludf.DUMMYFUNCTION("IMPORTRANGE(""https://docs.google.com/spreadsheets/d/1IYY_tgx_IHuhSq3AJ5eI5OnqOPBNLWSHKh2a30DoXe8/edit?usp=sharing"",""กระบี่!J96"")"),1)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IFERROR(__xludf.DUMMYFUNCTION("IMPORTRANGE(""https://docs.google.com/spreadsheets/d/1IYY_tgx_IHuhSq3AJ5eI5OnqOPBNLWSHKh2a30DoXe8/edit?usp=sharing"",""กระบี่!J97"")"),1)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IFERROR(__xludf.DUMMYFUNCTION("IMPORTRANGE(""https://docs.google.com/spreadsheets/d/1IYY_tgx_IHuhSq3AJ5eI5OnqOPBNLWSHKh2a30DoXe8/edit?usp=sharing"",""กระบี่!I98"")"),2)</f>
        <v>2</v>
      </c>
      <c r="J173" s="195">
        <f ca="1">IFERROR(__xludf.DUMMYFUNCTION("IMPORTRANGE(""https://docs.google.com/spreadsheets/d/1IYY_tgx_IHuhSq3AJ5eI5OnqOPBNLWSHKh2a30DoXe8/edit?usp=sharing"",""กระบี่!J98"")"),2)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IFERROR(__xludf.DUMMYFUNCTION("IMPORTRANGE(""https://docs.google.com/spreadsheets/d/1IYY_tgx_IHuhSq3AJ5eI5OnqOPBNLWSHKh2a30DoXe8/edit?usp=sharing"",""กระบี่!J99"")"),0)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IFERROR(__xludf.DUMMYFUNCTION("IMPORTRANGE(""https://docs.google.com/spreadsheets/d/1IYY_tgx_IHuhSq3AJ5eI5OnqOPBNLWSHKh2a30DoXe8/edit?usp=sharing"",""กระบี่!J100"")"),0)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IFERROR(__xludf.DUMMYFUNCTION("IMPORTRANGE(""https://docs.google.com/spreadsheets/d/1IYY_tgx_IHuhSq3AJ5eI5OnqOPBNLWSHKh2a30DoXe8/edit?usp=sharing"",""กระบี่!J106"")"),0)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IFERROR(__xludf.DUMMYFUNCTION("IMPORTRANGE(""https://docs.google.com/spreadsheets/d/1IYY_tgx_IHuhSq3AJ5eI5OnqOPBNLWSHKh2a30DoXe8/edit?usp=sharing"",""กระบี่!J107"")"),0)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IFERROR(__xludf.DUMMYFUNCTION("IMPORTRANGE(""https://docs.google.com/spreadsheets/d/1IYY_tgx_IHuhSq3AJ5eI5OnqOPBNLWSHKh2a30DoXe8/edit?usp=sharing"",""กระบี่!J108"")"),0)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IFERROR(__xludf.DUMMYFUNCTION("IMPORTRANGE(""https://docs.google.com/spreadsheets/d/1IYY_tgx_IHuhSq3AJ5eI5OnqOPBNLWSHKh2a30DoXe8/edit?usp=sharing"",""กระบี่!J109"")"),0)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IFERROR(__xludf.DUMMYFUNCTION("IMPORTRANGE(""https://docs.google.com/spreadsheets/d/1IYY_tgx_IHuhSq3AJ5eI5OnqOPBNLWSHKh2a30DoXe8/edit?usp=sharing"",""กระบี่!I110"")"),0)</f>
        <v>0</v>
      </c>
      <c r="J185" s="210">
        <f ca="1">IFERROR(__xludf.DUMMYFUNCTION("IMPORTRANGE(""https://docs.google.com/spreadsheets/d/1IYY_tgx_IHuhSq3AJ5eI5OnqOPBNLWSHKh2a30DoXe8/edit?usp=sharing"",""กระบี่!J110"")"),0)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IFERROR(__xludf.DUMMYFUNCTION("IMPORTRANGE(""https://docs.google.com/spreadsheets/d/1IYY_tgx_IHuhSq3AJ5eI5OnqOPBNLWSHKh2a30DoXe8/edit?usp=sharing"",""กระบี่!I111"")"),0)</f>
        <v>0</v>
      </c>
      <c r="J186" s="210">
        <f ca="1">IFERROR(__xludf.DUMMYFUNCTION("IMPORTRANGE(""https://docs.google.com/spreadsheets/d/1IYY_tgx_IHuhSq3AJ5eI5OnqOPBNLWSHKh2a30DoXe8/edit?usp=sharing"",""กระบี่!J111"")"),0)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IFERROR(__xludf.DUMMYFUNCTION("IMPORTRANGE(""https://docs.google.com/spreadsheets/d/1IYY_tgx_IHuhSq3AJ5eI5OnqOPBNLWSHKh2a30DoXe8/edit?usp=sharing"",""กระบี่!J112"")"),0)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IFERROR(__xludf.DUMMYFUNCTION("IMPORTRANGE(""https://docs.google.com/spreadsheets/d/1IYY_tgx_IHuhSq3AJ5eI5OnqOPBNLWSHKh2a30DoXe8/edit?usp=sharing"",""กระบี่!J113"")"),0)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IFERROR(__xludf.DUMMYFUNCTION("IMPORTRANGE(""https://docs.google.com/spreadsheets/d/1IYY_tgx_IHuhSq3AJ5eI5OnqOPBNLWSHKh2a30DoXe8/edit?usp=sharing"",""กระบี่!J119"")"),0)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IFERROR(__xludf.DUMMYFUNCTION("IMPORTRANGE(""https://docs.google.com/spreadsheets/d/1IYY_tgx_IHuhSq3AJ5eI5OnqOPBNLWSHKh2a30DoXe8/edit?usp=sharing"",""กระบี่!J120"")"),1)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IFERROR(__xludf.DUMMYFUNCTION("IMPORTRANGE(""https://docs.google.com/spreadsheets/d/1IYY_tgx_IHuhSq3AJ5eI5OnqOPBNLWSHKh2a30DoXe8/edit?usp=sharing"",""กระบี่!J121"")"),1)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IFERROR(__xludf.DUMMYFUNCTION("IMPORTRANGE(""https://docs.google.com/spreadsheets/d/1IYY_tgx_IHuhSq3AJ5eI5OnqOPBNLWSHKh2a30DoXe8/edit?usp=sharing"",""กระบี่!J122"")"),1)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IFERROR(__xludf.DUMMYFUNCTION("IMPORTRANGE(""https://docs.google.com/spreadsheets/d/1IYY_tgx_IHuhSq3AJ5eI5OnqOPBNLWSHKh2a30DoXe8/edit?usp=sharing"",""กระบี่!I124"")"),50000)</f>
        <v>50000</v>
      </c>
      <c r="J199" s="195">
        <f ca="1">IFERROR(__xludf.DUMMYFUNCTION("IMPORTRANGE(""https://docs.google.com/spreadsheets/d/1IYY_tgx_IHuhSq3AJ5eI5OnqOPBNLWSHKh2a30DoXe8/edit?usp=sharing"",""กระบี่!J124"")"),50000)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IFERROR(__xludf.DUMMYFUNCTION("IMPORTRANGE(""https://docs.google.com/spreadsheets/d/1IYY_tgx_IHuhSq3AJ5eI5OnqOPBNLWSHKh2a30DoXe8/edit?usp=sharing"",""กระบี่!I125"")"),50000)</f>
        <v>50000</v>
      </c>
      <c r="J200" s="195">
        <f ca="1">IFERROR(__xludf.DUMMYFUNCTION("IMPORTRANGE(""https://docs.google.com/spreadsheets/d/1IYY_tgx_IHuhSq3AJ5eI5OnqOPBNLWSHKh2a30DoXe8/edit?usp=sharing"",""กระบี่!J125"")"),0)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IFERROR(__xludf.DUMMYFUNCTION("IMPORTRANGE(""https://docs.google.com/spreadsheets/d/1IYY_tgx_IHuhSq3AJ5eI5OnqOPBNLWSHKh2a30DoXe8/edit?usp=sharing"",""กระบี่!I126"")"),15)</f>
        <v>15</v>
      </c>
      <c r="J201" s="195">
        <f ca="1">IFERROR(__xludf.DUMMYFUNCTION("IMPORTRANGE(""https://docs.google.com/spreadsheets/d/1IYY_tgx_IHuhSq3AJ5eI5OnqOPBNLWSHKh2a30DoXe8/edit?usp=sharing"",""กระบี่!J126"")"),15)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IFERROR(__xludf.DUMMYFUNCTION("IMPORTRANGE(""https://docs.google.com/spreadsheets/d/1IYY_tgx_IHuhSq3AJ5eI5OnqOPBNLWSHKh2a30DoXe8/edit?usp=sharing"",""กระบี่!J127"")"),0)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IFERROR(__xludf.DUMMYFUNCTION("IMPORTRANGE(""https://docs.google.com/spreadsheets/d/1IYY_tgx_IHuhSq3AJ5eI5OnqOPBNLWSHKh2a30DoXe8/edit?usp=sharing"",""กระบี่!J128"")"),0)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IFERROR(__xludf.DUMMYFUNCTION("IMPORTRANGE(""https://docs.google.com/spreadsheets/d/1IYY_tgx_IHuhSq3AJ5eI5OnqOPBNLWSHKh2a30DoXe8/edit?usp=sharing"",""กระบี่!J134"")"),0)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IFERROR(__xludf.DUMMYFUNCTION("IMPORTRANGE(""https://docs.google.com/spreadsheets/d/1IYY_tgx_IHuhSq3AJ5eI5OnqOPBNLWSHKh2a30DoXe8/edit?usp=sharing"",""กระบี่!J135"")"),0)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IFERROR(__xludf.DUMMYFUNCTION("IMPORTRANGE(""https://docs.google.com/spreadsheets/d/1IYY_tgx_IHuhSq3AJ5eI5OnqOPBNLWSHKh2a30DoXe8/edit?usp=sharing"",""กระบี่!J136"")"),0)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IFERROR(__xludf.DUMMYFUNCTION("IMPORTRANGE(""https://docs.google.com/spreadsheets/d/1IYY_tgx_IHuhSq3AJ5eI5OnqOPBNLWSHKh2a30DoXe8/edit?usp=sharing"",""กระบี่!J137"")"),0)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IFERROR(__xludf.DUMMYFUNCTION("IMPORTRANGE(""https://docs.google.com/spreadsheets/d/1IYY_tgx_IHuhSq3AJ5eI5OnqOPBNLWSHKh2a30DoXe8/edit?usp=sharing"",""กระบี่!I138"")"),0)</f>
        <v>0</v>
      </c>
      <c r="J213" s="210">
        <f ca="1">IFERROR(__xludf.DUMMYFUNCTION("IMPORTRANGE(""https://docs.google.com/spreadsheets/d/1IYY_tgx_IHuhSq3AJ5eI5OnqOPBNLWSHKh2a30DoXe8/edit?usp=sharing"",""กระบี่!J138"")"),0)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IFERROR(__xludf.DUMMYFUNCTION("IMPORTRANGE(""https://docs.google.com/spreadsheets/d/1IYY_tgx_IHuhSq3AJ5eI5OnqOPBNLWSHKh2a30DoXe8/edit?usp=sharing"",""กระบี่!I140"")"),0)</f>
        <v>0</v>
      </c>
      <c r="J215" s="210">
        <f ca="1">IFERROR(__xludf.DUMMYFUNCTION("IMPORTRANGE(""https://docs.google.com/spreadsheets/d/1IYY_tgx_IHuhSq3AJ5eI5OnqOPBNLWSHKh2a30DoXe8/edit?usp=sharing"",""กระบี่!J140"")"),0)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IFERROR(__xludf.DUMMYFUNCTION("IMPORTRANGE(""https://docs.google.com/spreadsheets/d/1IYY_tgx_IHuhSq3AJ5eI5OnqOPBNLWSHKh2a30DoXe8/edit?usp=sharing"",""กระบี่!I141"")"),0)</f>
        <v>0</v>
      </c>
      <c r="J216" s="210">
        <f ca="1">IFERROR(__xludf.DUMMYFUNCTION("IMPORTRANGE(""https://docs.google.com/spreadsheets/d/1IYY_tgx_IHuhSq3AJ5eI5OnqOPBNLWSHKh2a30DoXe8/edit?usp=sharing"",""กระบี่!J141"")"),0)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IFERROR(__xludf.DUMMYFUNCTION("IMPORTRANGE(""https://docs.google.com/spreadsheets/d/1IYY_tgx_IHuhSq3AJ5eI5OnqOPBNLWSHKh2a30DoXe8/edit?usp=sharing"",""กระบี่!J142"")"),0)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IFERROR(__xludf.DUMMYFUNCTION("IMPORTRANGE(""https://docs.google.com/spreadsheets/d/1IYY_tgx_IHuhSq3AJ5eI5OnqOPBNLWSHKh2a30DoXe8/edit?usp=sharing"",""กระบี่!J143"")"),0)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IFERROR(__xludf.DUMMYFUNCTION("IMPORTRANGE(""https://docs.google.com/spreadsheets/d/1IYY_tgx_IHuhSq3AJ5eI5OnqOPBNLWSHKh2a30DoXe8/edit?usp=sharing"",""กระบี่!I144"")"),13)</f>
        <v>13</v>
      </c>
      <c r="J219" s="273">
        <f ca="1">IFERROR(__xludf.DUMMYFUNCTION("IMPORTRANGE(""https://docs.google.com/spreadsheets/d/1IYY_tgx_IHuhSq3AJ5eI5OnqOPBNLWSHKh2a30DoXe8/edit?usp=sharing"",""กระบี่!J144"")"),13)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IFERROR(__xludf.DUMMYFUNCTION("IMPORTRANGE(""https://docs.google.com/spreadsheets/d/1Yj_ptqi66GCucihVvJfMjLAmec39IyEx_6qawtMGysU/edit?usp=sharing"",""สบก!BS81"")"),19295)</f>
        <v>19295</v>
      </c>
      <c r="N224" s="174">
        <f ca="1">IFERROR(__xludf.DUMMYFUNCTION("IMPORTRANGE(""https://docs.google.com/spreadsheets/d/1Yj_ptqi66GCucihVvJfMjLAmec39IyEx_6qawtMGysU/edit?usp=sharing"",""สบก!BT81"")"),19295)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IFERROR(__xludf.DUMMYFUNCTION("IMPORTRANGE(""https://docs.google.com/spreadsheets/d/1Yj_ptqi66GCucihVvJfMjLAmec39IyEx_6qawtMGysU/edit?usp=sharing"",""สบก!BO81"")"),0)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IFERROR(__xludf.DUMMYFUNCTION("IMPORTRANGE(""https://docs.google.com/spreadsheets/d/1Yj_ptqi66GCucihVvJfMjLAmec39IyEx_6qawtMGysU/edit?usp=sharing"",""สบก!BP81"")"),19295)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IFERROR(__xludf.DUMMYFUNCTION("IMPORTRANGE(""https://docs.google.com/spreadsheets/d/1IYY_tgx_IHuhSq3AJ5eI5OnqOPBNLWSHKh2a30DoXe8/edit?usp=sharing"",""กระบี่!I149"")"),13)</f>
        <v>13</v>
      </c>
      <c r="J229" s="273">
        <f ca="1">IFERROR(__xludf.DUMMYFUNCTION("IMPORTRANGE(""https://docs.google.com/spreadsheets/d/1IYY_tgx_IHuhSq3AJ5eI5OnqOPBNLWSHKh2a30DoXe8/edit?usp=sharing"",""กระบี่!J149"")"),13)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IFERROR(__xludf.DUMMYFUNCTION("IMPORTRANGE(""https://docs.google.com/spreadsheets/d/1IYY_tgx_IHuhSq3AJ5eI5OnqOPBNLWSHKh2a30DoXe8/edit?usp=sharing"",""กระบี่!J151"")"),0)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IFERROR(__xludf.DUMMYFUNCTION("IMPORTRANGE(""https://docs.google.com/spreadsheets/d/1IYY_tgx_IHuhSq3AJ5eI5OnqOPBNLWSHKh2a30DoXe8/edit?usp=sharing"",""กระบี่!J152"")"),1)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IFERROR(__xludf.DUMMYFUNCTION("IMPORTRANGE(""https://docs.google.com/spreadsheets/d/1IYY_tgx_IHuhSq3AJ5eI5OnqOPBNLWSHKh2a30DoXe8/edit?usp=sharing"",""กระบี่!J153"")"),1)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IFERROR(__xludf.DUMMYFUNCTION("IMPORTRANGE(""https://docs.google.com/spreadsheets/d/1IYY_tgx_IHuhSq3AJ5eI5OnqOPBNLWSHKh2a30DoXe8/edit?usp=sharing"",""กระบี่!J154"")"),1)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IFERROR(__xludf.DUMMYFUNCTION("IMPORTRANGE(""https://docs.google.com/spreadsheets/d/1IYY_tgx_IHuhSq3AJ5eI5OnqOPBNLWSHKh2a30DoXe8/edit?usp=sharing"",""กระบี่!I155"")"),13)</f>
        <v>13</v>
      </c>
      <c r="J235" s="195">
        <f ca="1">IFERROR(__xludf.DUMMYFUNCTION("IMPORTRANGE(""https://docs.google.com/spreadsheets/d/1IYY_tgx_IHuhSq3AJ5eI5OnqOPBNLWSHKh2a30DoXe8/edit?usp=sharing"",""กระบี่!J155"")"),13)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IFERROR(__xludf.DUMMYFUNCTION("IMPORTRANGE(""https://docs.google.com/spreadsheets/d/1IYY_tgx_IHuhSq3AJ5eI5OnqOPBNLWSHKh2a30DoXe8/edit?usp=sharing"",""กระบี่!J156"")"),0)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IFERROR(__xludf.DUMMYFUNCTION("IMPORTRANGE(""https://docs.google.com/spreadsheets/d/1IYY_tgx_IHuhSq3AJ5eI5OnqOPBNLWSHKh2a30DoXe8/edit?usp=sharing"",""กระบี่!J157"")"),0)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IFERROR(__xludf.DUMMYFUNCTION("IMPORTRANGE(""https://docs.google.com/spreadsheets/d/1IYY_tgx_IHuhSq3AJ5eI5OnqOPBNLWSHKh2a30DoXe8/edit?usp=sharing"",""กระบี่!I158"")"),0)</f>
        <v>0</v>
      </c>
      <c r="J238" s="273">
        <f ca="1">IFERROR(__xludf.DUMMYFUNCTION("IMPORTRANGE(""https://docs.google.com/spreadsheets/d/1IYY_tgx_IHuhSq3AJ5eI5OnqOPBNLWSHKh2a30DoXe8/edit?usp=sharing"",""กระบี่!J158"")"),0)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IFERROR(__xludf.DUMMYFUNCTION("IMPORTRANGE(""https://docs.google.com/spreadsheets/d/1IYY_tgx_IHuhSq3AJ5eI5OnqOPBNLWSHKh2a30DoXe8/edit?usp=sharing"",""กระบี่!J159"")"),"")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IFERROR(__xludf.DUMMYFUNCTION("IMPORTRANGE(""https://docs.google.com/spreadsheets/d/1IYY_tgx_IHuhSq3AJ5eI5OnqOPBNLWSHKh2a30DoXe8/edit?usp=sharing"",""กระบี่!J161"")"),0)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IFERROR(__xludf.DUMMYFUNCTION("IMPORTRANGE(""https://docs.google.com/spreadsheets/d/1IYY_tgx_IHuhSq3AJ5eI5OnqOPBNLWSHKh2a30DoXe8/edit?usp=sharing"",""กระบี่!J162"")"),0)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IFERROR(__xludf.DUMMYFUNCTION("IMPORTRANGE(""https://docs.google.com/spreadsheets/d/1IYY_tgx_IHuhSq3AJ5eI5OnqOPBNLWSHKh2a30DoXe8/edit?usp=sharing"",""กระบี่!J163"")"),0)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IFERROR(__xludf.DUMMYFUNCTION("IMPORTRANGE(""https://docs.google.com/spreadsheets/d/1IYY_tgx_IHuhSq3AJ5eI5OnqOPBNLWSHKh2a30DoXe8/edit?usp=sharing"",""กระบี่!I164"")"),0)</f>
        <v>0</v>
      </c>
      <c r="J244" s="194">
        <f ca="1">IFERROR(__xludf.DUMMYFUNCTION("IMPORTRANGE(""https://docs.google.com/spreadsheets/d/1IYY_tgx_IHuhSq3AJ5eI5OnqOPBNLWSHKh2a30DoXe8/edit?usp=sharing"",""กระบี่!J164"")"),0)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IFERROR(__xludf.DUMMYFUNCTION("IMPORTRANGE(""https://docs.google.com/spreadsheets/d/1IYY_tgx_IHuhSq3AJ5eI5OnqOPBNLWSHKh2a30DoXe8/edit?usp=sharing"",""กระบี่!J165"")"),0)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IFERROR(__xludf.DUMMYFUNCTION("IMPORTRANGE(""https://docs.google.com/spreadsheets/d/1Yj_ptqi66GCucihVvJfMjLAmec39IyEx_6qawtMGysU/edit?usp=sharing"",""สบก!CB81"")"),0)</f>
        <v>0</v>
      </c>
      <c r="N254" s="174">
        <f ca="1">IFERROR(__xludf.DUMMYFUNCTION("IMPORTRANGE(""https://docs.google.com/spreadsheets/d/1Yj_ptqi66GCucihVvJfMjLAmec39IyEx_6qawtMGysU/edit?usp=sharing"",""สบก!CC81"")"),0)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IFERROR(__xludf.DUMMYFUNCTION("IMPORTRANGE(""https://docs.google.com/spreadsheets/d/1Yj_ptqi66GCucihVvJfMjLAmec39IyEx_6qawtMGysU/edit?usp=sharing"",""สบก!BX81"")"),0)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IFERROR(__xludf.DUMMYFUNCTION("IMPORTRANGE(""https://docs.google.com/spreadsheets/d/1Yj_ptqi66GCucihVvJfMjLAmec39IyEx_6qawtMGysU/edit?usp=sharing"",""สบก!BY81"")"),0)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IFERROR(__xludf.DUMMYFUNCTION("IMPORTRANGE(""https://docs.google.com/spreadsheets/d/1IYY_tgx_IHuhSq3AJ5eI5OnqOPBNLWSHKh2a30DoXe8/edit?usp=sharing"",""กระบี่!J175"")"),0)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IFERROR(__xludf.DUMMYFUNCTION("IMPORTRANGE(""https://docs.google.com/spreadsheets/d/1IYY_tgx_IHuhSq3AJ5eI5OnqOPBNLWSHKh2a30DoXe8/edit?usp=sharing"",""กระบี่!J176"")"),0)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IFERROR(__xludf.DUMMYFUNCTION("IMPORTRANGE(""https://docs.google.com/spreadsheets/d/1IYY_tgx_IHuhSq3AJ5eI5OnqOPBNLWSHKh2a30DoXe8/edit?usp=sharing"",""กระบี่!J177"")"),0)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IFERROR(__xludf.DUMMYFUNCTION("IMPORTRANGE(""https://docs.google.com/spreadsheets/d/1IYY_tgx_IHuhSq3AJ5eI5OnqOPBNLWSHKh2a30DoXe8/edit?usp=sharing"",""กระบี่!J178"")"),0)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IFERROR(__xludf.DUMMYFUNCTION("IMPORTRANGE(""https://docs.google.com/spreadsheets/d/1IYY_tgx_IHuhSq3AJ5eI5OnqOPBNLWSHKh2a30DoXe8/edit?usp=sharing"",""กระบี่!I179"")"),0)</f>
        <v>0</v>
      </c>
      <c r="J264" s="195">
        <f ca="1">IFERROR(__xludf.DUMMYFUNCTION("IMPORTRANGE(""https://docs.google.com/spreadsheets/d/1IYY_tgx_IHuhSq3AJ5eI5OnqOPBNLWSHKh2a30DoXe8/edit?usp=sharing"",""กระบี่!J179"")"),0)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IFERROR(__xludf.DUMMYFUNCTION("IMPORTRANGE(""https://docs.google.com/spreadsheets/d/1IYY_tgx_IHuhSq3AJ5eI5OnqOPBNLWSHKh2a30DoXe8/edit?usp=sharing"",""กระบี่!I180"")"),0)</f>
        <v>0</v>
      </c>
      <c r="J265" s="195">
        <f ca="1">IFERROR(__xludf.DUMMYFUNCTION("IMPORTRANGE(""https://docs.google.com/spreadsheets/d/1IYY_tgx_IHuhSq3AJ5eI5OnqOPBNLWSHKh2a30DoXe8/edit?usp=sharing"",""กระบี่!J180"")"),0)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IFERROR(__xludf.DUMMYFUNCTION("IMPORTRANGE(""https://docs.google.com/spreadsheets/d/1IYY_tgx_IHuhSq3AJ5eI5OnqOPBNLWSHKh2a30DoXe8/edit?usp=sharing"",""กระบี่!I181"")"),0)</f>
        <v>0</v>
      </c>
      <c r="J266" s="195">
        <f ca="1">IFERROR(__xludf.DUMMYFUNCTION("IMPORTRANGE(""https://docs.google.com/spreadsheets/d/1IYY_tgx_IHuhSq3AJ5eI5OnqOPBNLWSHKh2a30DoXe8/edit?usp=sharing"",""กระบี่!J181"")"),0)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IFERROR(__xludf.DUMMYFUNCTION("IMPORTRANGE(""https://docs.google.com/spreadsheets/d/1IYY_tgx_IHuhSq3AJ5eI5OnqOPBNLWSHKh2a30DoXe8/edit?usp=sharing"",""กระบี่!I182"")"),0)</f>
        <v>0</v>
      </c>
      <c r="J267" s="195">
        <f ca="1">IFERROR(__xludf.DUMMYFUNCTION("IMPORTRANGE(""https://docs.google.com/spreadsheets/d/1IYY_tgx_IHuhSq3AJ5eI5OnqOPBNLWSHKh2a30DoXe8/edit?usp=sharing"",""กระบี่!J182"")"),0)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IFERROR(__xludf.DUMMYFUNCTION("IMPORTRANGE(""https://docs.google.com/spreadsheets/d/1IYY_tgx_IHuhSq3AJ5eI5OnqOPBNLWSHKh2a30DoXe8/edit?usp=sharing"",""กระบี่!J183"")"),0)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IFERROR(__xludf.DUMMYFUNCTION("IMPORTRANGE(""https://docs.google.com/spreadsheets/d/1Yj_ptqi66GCucihVvJfMjLAmec39IyEx_6qawtMGysU/edit?usp=sharing"",""สบก!CK81"")"),0)</f>
        <v>0</v>
      </c>
      <c r="N275" s="174">
        <f ca="1">IFERROR(__xludf.DUMMYFUNCTION("IMPORTRANGE(""https://docs.google.com/spreadsheets/d/1Yj_ptqi66GCucihVvJfMjLAmec39IyEx_6qawtMGysU/edit?usp=sharing"",""สบก!CL81"")"),0)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IFERROR(__xludf.DUMMYFUNCTION("IMPORTRANGE(""https://docs.google.com/spreadsheets/d/1Yj_ptqi66GCucihVvJfMjLAmec39IyEx_6qawtMGysU/edit?usp=sharing"",""สบก!CG81"")"),0)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IFERROR(__xludf.DUMMYFUNCTION("IMPORTRANGE(""https://docs.google.com/spreadsheets/d/1Yj_ptqi66GCucihVvJfMjLAmec39IyEx_6qawtMGysU/edit?usp=sharing"",""สบก!CH81"")"),0)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IFERROR(__xludf.DUMMYFUNCTION("IMPORTRANGE(""https://docs.google.com/spreadsheets/d/1IYY_tgx_IHuhSq3AJ5eI5OnqOPBNLWSHKh2a30DoXe8/edit?usp=sharing"",""กระบี่!J191"")"),0)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IFERROR(__xludf.DUMMYFUNCTION("IMPORTRANGE(""https://docs.google.com/spreadsheets/d/1IYY_tgx_IHuhSq3AJ5eI5OnqOPBNLWSHKh2a30DoXe8/edit?usp=sharing"",""กระบี่!J192"")"),0)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IFERROR(__xludf.DUMMYFUNCTION("IMPORTRANGE(""https://docs.google.com/spreadsheets/d/1IYY_tgx_IHuhSq3AJ5eI5OnqOPBNLWSHKh2a30DoXe8/edit?usp=sharing"",""กระบี่!J193"")"),0)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IFERROR(__xludf.DUMMYFUNCTION("IMPORTRANGE(""https://docs.google.com/spreadsheets/d/1IYY_tgx_IHuhSq3AJ5eI5OnqOPBNLWSHKh2a30DoXe8/edit?usp=sharing"",""กระบี่!J194"")"),0)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IFERROR(__xludf.DUMMYFUNCTION("IMPORTRANGE(""https://docs.google.com/spreadsheets/d/1IYY_tgx_IHuhSq3AJ5eI5OnqOPBNLWSHKh2a30DoXe8/edit?usp=sharing"",""กระบี่!I195"")"),0)</f>
        <v>0</v>
      </c>
      <c r="J285" s="195">
        <f ca="1">IFERROR(__xludf.DUMMYFUNCTION("IMPORTRANGE(""https://docs.google.com/spreadsheets/d/1IYY_tgx_IHuhSq3AJ5eI5OnqOPBNLWSHKh2a30DoXe8/edit?usp=sharing"",""กระบี่!J195"")"),0)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IFERROR(__xludf.DUMMYFUNCTION("IMPORTRANGE(""https://docs.google.com/spreadsheets/d/1IYY_tgx_IHuhSq3AJ5eI5OnqOPBNLWSHKh2a30DoXe8/edit?usp=sharing"",""กระบี่!J196"")"),0)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IFERROR(__xludf.DUMMYFUNCTION("IMPORTRANGE(""https://docs.google.com/spreadsheets/d/1IYY_tgx_IHuhSq3AJ5eI5OnqOPBNLWSHKh2a30DoXe8/edit?usp=sharing"",""กระบี่!J197"")"),0)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665740</v>
      </c>
      <c r="M290" s="156">
        <f t="shared" ca="1" si="88"/>
        <v>665740</v>
      </c>
      <c r="N290" s="156">
        <f t="shared" ca="1" si="88"/>
        <v>555392</v>
      </c>
      <c r="O290" s="155">
        <f t="shared" ref="O290:O292" ca="1" si="89">IF(L290&gt;0,N290*100/L290,0)</f>
        <v>83.424760416979595</v>
      </c>
      <c r="P290" s="155">
        <f t="shared" ref="P290:P292" ca="1" si="90">IF(M290&gt;0,N290*100/M290,0)</f>
        <v>83.424760416979595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665740</v>
      </c>
      <c r="M292" s="161">
        <f t="shared" ca="1" si="92"/>
        <v>665740</v>
      </c>
      <c r="N292" s="161">
        <f t="shared" ca="1" si="92"/>
        <v>555392</v>
      </c>
      <c r="O292" s="160">
        <f t="shared" ca="1" si="89"/>
        <v>83.424760416979595</v>
      </c>
      <c r="P292" s="160">
        <f t="shared" ca="1" si="90"/>
        <v>83.424760416979595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195740</v>
      </c>
      <c r="M294" s="173">
        <f ca="1">IFERROR(__xludf.DUMMYFUNCTION("IMPORTRANGE(""https://docs.google.com/spreadsheets/d/1Yj_ptqi66GCucihVvJfMjLAmec39IyEx_6qawtMGysU/edit?usp=sharing"",""สบก!CT81"")"),195740)</f>
        <v>195740</v>
      </c>
      <c r="N294" s="174">
        <f ca="1">IFERROR(__xludf.DUMMYFUNCTION("IMPORTRANGE(""https://docs.google.com/spreadsheets/d/1Yj_ptqi66GCucihVvJfMjLAmec39IyEx_6qawtMGysU/edit?usp=sharing"",""สบก!CU81"")"),85392)</f>
        <v>85392</v>
      </c>
      <c r="O294" s="175">
        <f ca="1">IF(L294&gt;0,N294*100/L294,0)</f>
        <v>43.625217124757334</v>
      </c>
      <c r="P294" s="175">
        <f ca="1">IF(M294&gt;0,N294*100/M294,0)</f>
        <v>43.625217124757334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IFERROR(__xludf.DUMMYFUNCTION("IMPORTRANGE(""https://docs.google.com/spreadsheets/d/1Yj_ptqi66GCucihVvJfMjLAmec39IyEx_6qawtMGysU/edit?usp=sharing"",""สบก!CP81"")"),0)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IFERROR(__xludf.DUMMYFUNCTION("IMPORTRANGE(""https://docs.google.com/spreadsheets/d/1Yj_ptqi66GCucihVvJfMjLAmec39IyEx_6qawtMGysU/edit?usp=sharing"",""สบก!CQ81"")"),195740)</f>
        <v>195740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IFERROR(__xludf.DUMMYFUNCTION("IMPORTRANGE(""https://docs.google.com/spreadsheets/d/1Yj_ptqi66GCucihVvJfMjLAmec39IyEx_6qawtMGysU/edit?usp=sharing"",""สบก!CR81"")"),470000)</f>
        <v>470000</v>
      </c>
      <c r="M298" s="101">
        <f ca="1">L298</f>
        <v>470000</v>
      </c>
      <c r="N298" s="91">
        <f ca="1">IFERROR(__xludf.DUMMYFUNCTION("IMPORTRANGE(""https://docs.google.com/spreadsheets/d/1Yj_ptqi66GCucihVvJfMjLAmec39IyEx_6qawtMGysU/edit?usp=sharing"",""สบก!CV81"")"),470000)</f>
        <v>470000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IFERROR(__xludf.DUMMYFUNCTION("IMPORTRANGE(""https://docs.google.com/spreadsheets/d/1IYY_tgx_IHuhSq3AJ5eI5OnqOPBNLWSHKh2a30DoXe8/edit?usp=sharing"",""กระบี่!J205"")"),0)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IFERROR(__xludf.DUMMYFUNCTION("IMPORTRANGE(""https://docs.google.com/spreadsheets/d/1IYY_tgx_IHuhSq3AJ5eI5OnqOPBNLWSHKh2a30DoXe8/edit?usp=sharing"",""กระบี่!J206"")"),1)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IFERROR(__xludf.DUMMYFUNCTION("IMPORTRANGE(""https://docs.google.com/spreadsheets/d/1IYY_tgx_IHuhSq3AJ5eI5OnqOPBNLWSHKh2a30DoXe8/edit?usp=sharing"",""กระบี่!J207"")"),1)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IFERROR(__xludf.DUMMYFUNCTION("IMPORTRANGE(""https://docs.google.com/spreadsheets/d/1IYY_tgx_IHuhSq3AJ5eI5OnqOPBNLWSHKh2a30DoXe8/edit?usp=sharing"",""กระบี่!J208"")"),1)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IFERROR(__xludf.DUMMYFUNCTION("IMPORTRANGE(""https://docs.google.com/spreadsheets/d/1IYY_tgx_IHuhSq3AJ5eI5OnqOPBNLWSHKh2a30DoXe8/edit?usp=sharing"",""กระบี่!I209"")"),65)</f>
        <v>65</v>
      </c>
      <c r="J304" s="210">
        <f ca="1">IFERROR(__xludf.DUMMYFUNCTION("IMPORTRANGE(""https://docs.google.com/spreadsheets/d/1IYY_tgx_IHuhSq3AJ5eI5OnqOPBNLWSHKh2a30DoXe8/edit?usp=sharing"",""กระบี่!J209"")"),65)</f>
        <v>65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IFERROR(__xludf.DUMMYFUNCTION("IMPORTRANGE(""https://docs.google.com/spreadsheets/d/1IYY_tgx_IHuhSq3AJ5eI5OnqOPBNLWSHKh2a30DoXe8/edit?usp=sharing"",""กระบี่!I211"")"),65)</f>
        <v>65</v>
      </c>
      <c r="J306" s="210">
        <f ca="1">IFERROR(__xludf.DUMMYFUNCTION("IMPORTRANGE(""https://docs.google.com/spreadsheets/d/1IYY_tgx_IHuhSq3AJ5eI5OnqOPBNLWSHKh2a30DoXe8/edit?usp=sharing"",""กระบี่!J211"")"),0)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IFERROR(__xludf.DUMMYFUNCTION("IMPORTRANGE(""https://docs.google.com/spreadsheets/d/1IYY_tgx_IHuhSq3AJ5eI5OnqOPBNLWSHKh2a30DoXe8/edit?usp=sharing"",""กระบี่!J212"")"),0)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IFERROR(__xludf.DUMMYFUNCTION("IMPORTRANGE(""https://docs.google.com/spreadsheets/d/1IYY_tgx_IHuhSq3AJ5eI5OnqOPBNLWSHKh2a30DoXe8/edit?usp=sharing"",""กระบี่!J213"")"),0)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5143600</v>
      </c>
      <c r="M310" s="156">
        <f t="shared" ca="1" si="93"/>
        <v>5289600</v>
      </c>
      <c r="N310" s="156">
        <f t="shared" ca="1" si="93"/>
        <v>319328.67</v>
      </c>
      <c r="O310" s="155">
        <f t="shared" ref="O310:O312" ca="1" si="94">IF(L310&gt;0,N310*100/L310,0)</f>
        <v>6.208271832957462</v>
      </c>
      <c r="P310" s="155">
        <f t="shared" ref="P310:P312" ca="1" si="95">IF(M310&gt;0,N310*100/M310,0)</f>
        <v>6.0369152676950995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5143600</v>
      </c>
      <c r="M312" s="161">
        <f t="shared" ca="1" si="97"/>
        <v>5289600</v>
      </c>
      <c r="N312" s="161">
        <f t="shared" ca="1" si="97"/>
        <v>319328.67</v>
      </c>
      <c r="O312" s="160">
        <f t="shared" ca="1" si="94"/>
        <v>6.208271832957462</v>
      </c>
      <c r="P312" s="160">
        <f t="shared" ca="1" si="95"/>
        <v>6.0369152676950995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243600</v>
      </c>
      <c r="M314" s="173">
        <f ca="1">IFERROR(__xludf.DUMMYFUNCTION("IMPORTRANGE(""https://docs.google.com/spreadsheets/d/1Yj_ptqi66GCucihVvJfMjLAmec39IyEx_6qawtMGysU/edit?usp=sharing"",""สบก!DC81"")"),389600)</f>
        <v>389600</v>
      </c>
      <c r="N314" s="174">
        <f ca="1">IFERROR(__xludf.DUMMYFUNCTION("IMPORTRANGE(""https://docs.google.com/spreadsheets/d/1Yj_ptqi66GCucihVvJfMjLAmec39IyEx_6qawtMGysU/edit?usp=sharing"",""สบก!DD81"")"),319328.67)</f>
        <v>319328.67</v>
      </c>
      <c r="O314" s="175">
        <f ca="1">IF(L314&gt;0,N314*100/L314,0)</f>
        <v>131.08730295566502</v>
      </c>
      <c r="P314" s="175">
        <f ca="1">IF(M314&gt;0,N314*100/M314,0)</f>
        <v>81.96321098562629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IFERROR(__xludf.DUMMYFUNCTION("IMPORTRANGE(""https://docs.google.com/spreadsheets/d/1Yj_ptqi66GCucihVvJfMjLAmec39IyEx_6qawtMGysU/edit?usp=sharing"",""สบก!CY81"")"),0)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IFERROR(__xludf.DUMMYFUNCTION("IMPORTRANGE(""https://docs.google.com/spreadsheets/d/1Yj_ptqi66GCucihVvJfMjLAmec39IyEx_6qawtMGysU/edit?usp=sharing"",""สบก!CZ81"")"),243600)</f>
        <v>243600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IFERROR(__xludf.DUMMYFUNCTION("IMPORTRANGE(""https://docs.google.com/spreadsheets/d/1Yj_ptqi66GCucihVvJfMjLAmec39IyEx_6qawtMGysU/edit?usp=sharing"",""สบก!DA81"")"),4900000)</f>
        <v>4900000</v>
      </c>
      <c r="M318" s="101">
        <f ca="1">L318</f>
        <v>4900000</v>
      </c>
      <c r="N318" s="91">
        <f ca="1">IFERROR(__xludf.DUMMYFUNCTION("IMPORTRANGE(""https://docs.google.com/spreadsheets/d/1Yj_ptqi66GCucihVvJfMjLAmec39IyEx_6qawtMGysU/edit?usp=sharing"",""สบก!DE81"")"),0)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IFERROR(__xludf.DUMMYFUNCTION("IMPORTRANGE(""https://docs.google.com/spreadsheets/d/1IYY_tgx_IHuhSq3AJ5eI5OnqOPBNLWSHKh2a30DoXe8/edit?usp=sharing"",""กระบี่!J220"")"),0)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IFERROR(__xludf.DUMMYFUNCTION("IMPORTRANGE(""https://docs.google.com/spreadsheets/d/1IYY_tgx_IHuhSq3AJ5eI5OnqOPBNLWSHKh2a30DoXe8/edit?usp=sharing"",""กระบี่!J221"")"),1)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IFERROR(__xludf.DUMMYFUNCTION("IMPORTRANGE(""https://docs.google.com/spreadsheets/d/1IYY_tgx_IHuhSq3AJ5eI5OnqOPBNLWSHKh2a30DoXe8/edit?usp=sharing"",""กระบี่!J222"")"),1)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IFERROR(__xludf.DUMMYFUNCTION("IMPORTRANGE(""https://docs.google.com/spreadsheets/d/1IYY_tgx_IHuhSq3AJ5eI5OnqOPBNLWSHKh2a30DoXe8/edit?usp=sharing"",""กระบี่!J223"")"),1)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IFERROR(__xludf.DUMMYFUNCTION("IMPORTRANGE(""https://docs.google.com/spreadsheets/d/1IYY_tgx_IHuhSq3AJ5eI5OnqOPBNLWSHKh2a30DoXe8/edit?usp=sharing"",""กระบี่!I224"")"),2)</f>
        <v>2</v>
      </c>
      <c r="J324" s="210">
        <f ca="1">IFERROR(__xludf.DUMMYFUNCTION("IMPORTRANGE(""https://docs.google.com/spreadsheets/d/1IYY_tgx_IHuhSq3AJ5eI5OnqOPBNLWSHKh2a30DoXe8/edit?usp=sharing"",""กระบี่!J224"")"),2)</f>
        <v>2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IFERROR(__xludf.DUMMYFUNCTION("IMPORTRANGE(""https://docs.google.com/spreadsheets/d/1IYY_tgx_IHuhSq3AJ5eI5OnqOPBNLWSHKh2a30DoXe8/edit?usp=sharing"",""กระบี่!J225"")"),0)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IFERROR(__xludf.DUMMYFUNCTION("IMPORTRANGE(""https://docs.google.com/spreadsheets/d/1IYY_tgx_IHuhSq3AJ5eI5OnqOPBNLWSHKh2a30DoXe8/edit?usp=sharing"",""กระบี่!J226"")"),0)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IFERROR(__xludf.DUMMYFUNCTION("IMPORTRANGE(""https://docs.google.com/spreadsheets/d/1IYY_tgx_IHuhSq3AJ5eI5OnqOPBNLWSHKh2a30DoXe8/edit?usp=sharing"",""กระบี่!I228"")"),410)</f>
        <v>410</v>
      </c>
      <c r="J328" s="345">
        <f ca="1">IFERROR(__xludf.DUMMYFUNCTION("IMPORTRANGE(""https://docs.google.com/spreadsheets/d/1IYY_tgx_IHuhSq3AJ5eI5OnqOPBNLWSHKh2a30DoXe8/edit?usp=sharing"",""กระบี่!J228"")"),146)</f>
        <v>146</v>
      </c>
      <c r="K328" s="323">
        <f ca="1">IF(I328&gt;0,J328*100/I328,0)</f>
        <v>35.609756097560975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971320</v>
      </c>
      <c r="M329" s="156">
        <f t="shared" ca="1" si="98"/>
        <v>939520</v>
      </c>
      <c r="N329" s="156">
        <f t="shared" ca="1" si="98"/>
        <v>630172.59</v>
      </c>
      <c r="O329" s="155">
        <f t="shared" ref="O329:O331" ca="1" si="99">IF(L329&gt;0,N329*100/L329,0)</f>
        <v>64.877958860107896</v>
      </c>
      <c r="P329" s="155">
        <f t="shared" ref="P329:P331" ca="1" si="100">IF(M329&gt;0,N329*100/M329,0)</f>
        <v>67.073887729904627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971320</v>
      </c>
      <c r="M331" s="161">
        <f t="shared" ca="1" si="102"/>
        <v>939520</v>
      </c>
      <c r="N331" s="161">
        <f t="shared" ca="1" si="102"/>
        <v>630172.59</v>
      </c>
      <c r="O331" s="160">
        <f t="shared" ca="1" si="99"/>
        <v>64.877958860107896</v>
      </c>
      <c r="P331" s="160">
        <f t="shared" ca="1" si="100"/>
        <v>67.073887729904627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939750</v>
      </c>
      <c r="M333" s="173">
        <f ca="1">IFERROR(__xludf.DUMMYFUNCTION("IMPORTRANGE(""https://docs.google.com/spreadsheets/d/1Yj_ptqi66GCucihVvJfMjLAmec39IyEx_6qawtMGysU/edit?usp=sharing"",""สบก!DL81"")"),907950)</f>
        <v>907950</v>
      </c>
      <c r="N333" s="174">
        <f ca="1">IFERROR(__xludf.DUMMYFUNCTION("IMPORTRANGE(""https://docs.google.com/spreadsheets/d/1Yj_ptqi66GCucihVvJfMjLAmec39IyEx_6qawtMGysU/edit?usp=sharing"",""สบก!DM81"")"),598602.59)</f>
        <v>598602.59</v>
      </c>
      <c r="O333" s="175">
        <f ca="1">IF(L333&gt;0,N333*100/L333,0)</f>
        <v>63.698067571162547</v>
      </c>
      <c r="P333" s="175">
        <f ca="1">IF(M333&gt;0,N333*100/M333,0)</f>
        <v>65.929025827413398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IFERROR(__xludf.DUMMYFUNCTION("IMPORTRANGE(""https://docs.google.com/spreadsheets/d/1Yj_ptqi66GCucihVvJfMjLAmec39IyEx_6qawtMGysU/edit?usp=sharing"",""สบก!DH81"")"),306000)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IFERROR(__xludf.DUMMYFUNCTION("IMPORTRANGE(""https://docs.google.com/spreadsheets/d/1Yj_ptqi66GCucihVvJfMjLAmec39IyEx_6qawtMGysU/edit?usp=sharing"",""สบก!DI81"")"),633750)</f>
        <v>633750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IFERROR(__xludf.DUMMYFUNCTION("IMPORTRANGE(""https://docs.google.com/spreadsheets/d/1IYY_tgx_IHuhSq3AJ5eI5OnqOPBNLWSHKh2a30DoXe8/edit?usp=sharing"",""กระบี่!I234"")"),0)</f>
        <v>0</v>
      </c>
      <c r="J339" s="194">
        <f ca="1">IFERROR(__xludf.DUMMYFUNCTION("IMPORTRANGE(""https://docs.google.com/spreadsheets/d/1IYY_tgx_IHuhSq3AJ5eI5OnqOPBNLWSHKh2a30DoXe8/edit?usp=sharing"",""กระบี่!J234"")"),347)</f>
        <v>347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IFERROR(__xludf.DUMMYFUNCTION("IMPORTRANGE(""https://docs.google.com/spreadsheets/d/1IYY_tgx_IHuhSq3AJ5eI5OnqOPBNLWSHKh2a30DoXe8/edit?usp=sharing"",""กระบี่!I235"")"),5000)</f>
        <v>5000</v>
      </c>
      <c r="J340" s="194">
        <f ca="1">IFERROR(__xludf.DUMMYFUNCTION("IMPORTRANGE(""https://docs.google.com/spreadsheets/d/1IYY_tgx_IHuhSq3AJ5eI5OnqOPBNLWSHKh2a30DoXe8/edit?usp=sharing"",""กระบี่!J235"")"),4844.1)</f>
        <v>4844.1000000000004</v>
      </c>
      <c r="K340" s="348">
        <f t="shared" ca="1" si="103"/>
        <v>96.882000000000005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IFERROR(__xludf.DUMMYFUNCTION("IMPORTRANGE(""https://docs.google.com/spreadsheets/d/1IYY_tgx_IHuhSq3AJ5eI5OnqOPBNLWSHKh2a30DoXe8/edit?usp=sharing"",""กระบี่!I236"")"),410)</f>
        <v>410</v>
      </c>
      <c r="J341" s="194">
        <f ca="1">IFERROR(__xludf.DUMMYFUNCTION("IMPORTRANGE(""https://docs.google.com/spreadsheets/d/1IYY_tgx_IHuhSq3AJ5eI5OnqOPBNLWSHKh2a30DoXe8/edit?usp=sharing"",""กระบี่!J236"")"),229)</f>
        <v>229</v>
      </c>
      <c r="K341" s="348">
        <f t="shared" ca="1" si="103"/>
        <v>55.853658536585364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4">
        <f ca="1">IFERROR(__xludf.DUMMYFUNCTION("IMPORTRANGE(""https://docs.google.com/spreadsheets/d/1IYY_tgx_IHuhSq3AJ5eI5OnqOPBNLWSHKh2a30DoXe8/edit?usp=sharing"",""กระบี่!J237"")"),3187.59)</f>
        <v>3187.59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IFERROR(__xludf.DUMMYFUNCTION("IMPORTRANGE(""https://docs.google.com/spreadsheets/d/1IYY_tgx_IHuhSq3AJ5eI5OnqOPBNLWSHKh2a30DoXe8/edit?usp=sharing"",""กระบี่!I238"")"),410)</f>
        <v>410</v>
      </c>
      <c r="J343" s="194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4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IFERROR(__xludf.DUMMYFUNCTION("IMPORTRANGE(""https://docs.google.com/spreadsheets/d/1IYY_tgx_IHuhSq3AJ5eI5OnqOPBNLWSHKh2a30DoXe8/edit?usp=sharing"",""กระบี่!I240"")"),410)</f>
        <v>410</v>
      </c>
      <c r="J345" s="194">
        <f ca="1">IFERROR(__xludf.DUMMYFUNCTION("IMPORTRANGE(""https://docs.google.com/spreadsheets/d/1IYY_tgx_IHuhSq3AJ5eI5OnqOPBNLWSHKh2a30DoXe8/edit?usp=sharing"",""กระบี่!J240"")"),146)</f>
        <v>146</v>
      </c>
      <c r="K345" s="348">
        <f t="shared" ca="1" si="103"/>
        <v>35.609756097560975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4">
        <f ca="1">IFERROR(__xludf.DUMMYFUNCTION("IMPORTRANGE(""https://docs.google.com/spreadsheets/d/1IYY_tgx_IHuhSq3AJ5eI5OnqOPBNLWSHKh2a30DoXe8/edit?usp=sharing"",""กระบี่!J241"")"),2133.2)</f>
        <v>2133.1999999999998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IFERROR(__xludf.DUMMYFUNCTION("IMPORTRANGE(""https://docs.google.com/spreadsheets/d/1IYY_tgx_IHuhSq3AJ5eI5OnqOPBNLWSHKh2a30DoXe8/edit?usp=sharing"",""กระบี่!L242"")"),1276273)</f>
        <v>1276273</v>
      </c>
      <c r="M347" s="364"/>
      <c r="N347" s="364">
        <f ca="1">IFERROR(__xludf.DUMMYFUNCTION("IMPORTRANGE(""https://docs.google.com/spreadsheets/d/1IYY_tgx_IHuhSq3AJ5eI5OnqOPBNLWSHKh2a30DoXe8/edit?usp=sharing"",""กระบี่!M242"")"),499543.36)</f>
        <v>499543.36</v>
      </c>
      <c r="O347" s="364">
        <f ca="1">+IF(L347&gt;0,N347*100/L347,0)</f>
        <v>39.14079197789188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IFERROR(__xludf.DUMMYFUNCTION("IMPORTRANGE(""https://docs.google.com/spreadsheets/d/1IYY_tgx_IHuhSq3AJ5eI5OnqOPBNLWSHKh2a30DoXe8/edit?usp=sharing"",""กระบี่!L246"")"),0)</f>
        <v>0</v>
      </c>
      <c r="M351" s="168"/>
      <c r="N351" s="168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8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IFERROR(__xludf.DUMMYFUNCTION("IMPORTRANGE(""https://docs.google.com/spreadsheets/d/1IYY_tgx_IHuhSq3AJ5eI5OnqOPBNLWSHKh2a30DoXe8/edit?usp=sharing"",""กระบี่!L248"")"),0)</f>
        <v>0</v>
      </c>
      <c r="M353" s="175"/>
      <c r="N353" s="175">
        <f ca="1">IFERROR(__xludf.DUMMYFUNCTION("IMPORTRANGE(""https://docs.google.com/spreadsheets/d/1IYY_tgx_IHuhSq3AJ5eI5OnqOPBNLWSHKh2a30DoXe8/edit?usp=sharing"",""กระบี่!M248"")"),0)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IFERROR(__xludf.DUMMYFUNCTION("IMPORTRANGE(""https://docs.google.com/spreadsheets/d/1IYY_tgx_IHuhSq3AJ5eI5OnqOPBNLWSHKh2a30DoXe8/edit?usp=sharing"",""กระบี่!L249"")"),0)</f>
        <v>0</v>
      </c>
      <c r="M354" s="175"/>
      <c r="N354" s="172">
        <f ca="1">IFERROR(__xludf.DUMMYFUNCTION("IMPORTRANGE(""https://docs.google.com/spreadsheets/d/1IYY_tgx_IHuhSq3AJ5eI5OnqOPBNLWSHKh2a30DoXe8/edit?usp=sharing"",""กระบี่!M249"")"),0)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IFERROR(__xludf.DUMMYFUNCTION("IMPORTRANGE(""https://docs.google.com/spreadsheets/d/1IYY_tgx_IHuhSq3AJ5eI5OnqOPBNLWSHKh2a30DoXe8/edit?usp=sharing"",""กระบี่!J255"")"),0)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IFERROR(__xludf.DUMMYFUNCTION("IMPORTRANGE(""https://docs.google.com/spreadsheets/d/1IYY_tgx_IHuhSq3AJ5eI5OnqOPBNLWSHKh2a30DoXe8/edit?usp=sharing"",""กระบี่!J256"")"),0)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IFERROR(__xludf.DUMMYFUNCTION("IMPORTRANGE(""https://docs.google.com/spreadsheets/d/1IYY_tgx_IHuhSq3AJ5eI5OnqOPBNLWSHKh2a30DoXe8/edit?usp=sharing"",""กระบี่!J257"")"),0)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IFERROR(__xludf.DUMMYFUNCTION("IMPORTRANGE(""https://docs.google.com/spreadsheets/d/1IYY_tgx_IHuhSq3AJ5eI5OnqOPBNLWSHKh2a30DoXe8/edit?usp=sharing"",""กระบี่!J258"")"),0)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IFERROR(__xludf.DUMMYFUNCTION("IMPORTRANGE(""https://docs.google.com/spreadsheets/d/1IYY_tgx_IHuhSq3AJ5eI5OnqOPBNLWSHKh2a30DoXe8/edit?usp=sharing"",""กระบี่!J166"")"),0)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IFERROR(__xludf.DUMMYFUNCTION("IMPORTRANGE(""https://docs.google.com/spreadsheets/d/1IYY_tgx_IHuhSq3AJ5eI5OnqOPBNLWSHKh2a30DoXe8/edit?usp=sharing"",""กระบี่!J166"")"),0)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IFERROR(__xludf.DUMMYFUNCTION("IMPORTRANGE(""https://docs.google.com/spreadsheets/d/1IYY_tgx_IHuhSq3AJ5eI5OnqOPBNLWSHKh2a30DoXe8/edit?usp=sharing"",""กระบี่!J166"")"),0)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IFERROR(__xludf.DUMMYFUNCTION("IMPORTRANGE(""https://docs.google.com/spreadsheets/d/1IYY_tgx_IHuhSq3AJ5eI5OnqOPBNLWSHKh2a30DoXe8/edit?usp=sharing"",""กระบี่!J166"")"),0)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IFERROR(__xludf.DUMMYFUNCTION("IMPORTRANGE(""https://docs.google.com/spreadsheets/d/1IYY_tgx_IHuhSq3AJ5eI5OnqOPBNLWSHKh2a30DoXe8/edit?usp=sharing"",""กระบี่!I263"")"),0)</f>
        <v>0</v>
      </c>
      <c r="J368" s="194">
        <f ca="1">IFERROR(__xludf.DUMMYFUNCTION("IMPORTRANGE(""https://docs.google.com/spreadsheets/d/1IYY_tgx_IHuhSq3AJ5eI5OnqOPBNLWSHKh2a30DoXe8/edit?usp=sharing"",""กระบี่!J263"")"),0)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IFERROR(__xludf.DUMMYFUNCTION("IMPORTRANGE(""https://docs.google.com/spreadsheets/d/1IYY_tgx_IHuhSq3AJ5eI5OnqOPBNLWSHKh2a30DoXe8/edit?usp=sharing"",""กระบี่!I164"")"),0)</f>
        <v>0</v>
      </c>
      <c r="J369" s="210">
        <f ca="1">IFERROR(__xludf.DUMMYFUNCTION("IMPORTRANGE(""https://docs.google.com/spreadsheets/d/1IYY_tgx_IHuhSq3AJ5eI5OnqOPBNLWSHKh2a30DoXe8/edit?usp=sharing"",""กระบี่!J164"")"),0)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IFERROR(__xludf.DUMMYFUNCTION("IMPORTRANGE(""https://docs.google.com/spreadsheets/d/1IYY_tgx_IHuhSq3AJ5eI5OnqOPBNLWSHKh2a30DoXe8/edit?usp=sharing"",""กระบี่!I265"")"),0)</f>
        <v>0</v>
      </c>
      <c r="J370" s="210">
        <f ca="1">IFERROR(__xludf.DUMMYFUNCTION("IMPORTRANGE(""https://docs.google.com/spreadsheets/d/1IYY_tgx_IHuhSq3AJ5eI5OnqOPBNLWSHKh2a30DoXe8/edit?usp=sharing"",""กระบี่!J265"")"),0)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IFERROR(__xludf.DUMMYFUNCTION("IMPORTRANGE(""https://docs.google.com/spreadsheets/d/1IYY_tgx_IHuhSq3AJ5eI5OnqOPBNLWSHKh2a30DoXe8/edit?usp=sharing"",""กระบี่!I164"")"),0)</f>
        <v>0</v>
      </c>
      <c r="J371" s="195">
        <f ca="1">IFERROR(__xludf.DUMMYFUNCTION("IMPORTRANGE(""https://docs.google.com/spreadsheets/d/1IYY_tgx_IHuhSq3AJ5eI5OnqOPBNLWSHKh2a30DoXe8/edit?usp=sharing"",""กระบี่!J164"")"),0)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IFERROR(__xludf.DUMMYFUNCTION("IMPORTRANGE(""https://docs.google.com/spreadsheets/d/1IYY_tgx_IHuhSq3AJ5eI5OnqOPBNLWSHKh2a30DoXe8/edit?usp=sharing"",""กระบี่!I267"")"),0)</f>
        <v>0</v>
      </c>
      <c r="J372" s="195">
        <f ca="1">IFERROR(__xludf.DUMMYFUNCTION("IMPORTRANGE(""https://docs.google.com/spreadsheets/d/1IYY_tgx_IHuhSq3AJ5eI5OnqOPBNLWSHKh2a30DoXe8/edit?usp=sharing"",""กระบี่!J267"")"),0)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IFERROR(__xludf.DUMMYFUNCTION("IMPORTRANGE(""https://docs.google.com/spreadsheets/d/1IYY_tgx_IHuhSq3AJ5eI5OnqOPBNLWSHKh2a30DoXe8/edit?usp=sharing"",""กระบี่!I164"")"),0)</f>
        <v>0</v>
      </c>
      <c r="J373" s="210">
        <f ca="1">IFERROR(__xludf.DUMMYFUNCTION("IMPORTRANGE(""https://docs.google.com/spreadsheets/d/1IYY_tgx_IHuhSq3AJ5eI5OnqOPBNLWSHKh2a30DoXe8/edit?usp=sharing"",""กระบี่!J164"")"),0)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IFERROR(__xludf.DUMMYFUNCTION("IMPORTRANGE(""https://docs.google.com/spreadsheets/d/1IYY_tgx_IHuhSq3AJ5eI5OnqOPBNLWSHKh2a30DoXe8/edit?usp=sharing"",""กระบี่!I164"")"),0)</f>
        <v>0</v>
      </c>
      <c r="J374" s="194">
        <f ca="1">IFERROR(__xludf.DUMMYFUNCTION("IMPORTRANGE(""https://docs.google.com/spreadsheets/d/1IYY_tgx_IHuhSq3AJ5eI5OnqOPBNLWSHKh2a30DoXe8/edit?usp=sharing"",""กระบี่!J164"")"),0)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IFERROR(__xludf.DUMMYFUNCTION("IMPORTRANGE(""https://docs.google.com/spreadsheets/d/1IYY_tgx_IHuhSq3AJ5eI5OnqOPBNLWSHKh2a30DoXe8/edit?usp=sharing"",""กระบี่!I270"")"),0)</f>
        <v>0</v>
      </c>
      <c r="J375" s="194">
        <f ca="1">IFERROR(__xludf.DUMMYFUNCTION("IMPORTRANGE(""https://docs.google.com/spreadsheets/d/1IYY_tgx_IHuhSq3AJ5eI5OnqOPBNLWSHKh2a30DoXe8/edit?usp=sharing"",""กระบี่!J270"")"),0)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IFERROR(__xludf.DUMMYFUNCTION("IMPORTRANGE(""https://docs.google.com/spreadsheets/d/1IYY_tgx_IHuhSq3AJ5eI5OnqOPBNLWSHKh2a30DoXe8/edit?usp=sharing"",""กระบี่!I271"")"),0)</f>
        <v>0</v>
      </c>
      <c r="J376" s="195">
        <f ca="1">IFERROR(__xludf.DUMMYFUNCTION("IMPORTRANGE(""https://docs.google.com/spreadsheets/d/1IYY_tgx_IHuhSq3AJ5eI5OnqOPBNLWSHKh2a30DoXe8/edit?usp=sharing"",""กระบี่!J271"")"),0)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IFERROR(__xludf.DUMMYFUNCTION("IMPORTRANGE(""https://docs.google.com/spreadsheets/d/1IYY_tgx_IHuhSq3AJ5eI5OnqOPBNLWSHKh2a30DoXe8/edit?usp=sharing"",""กระบี่!I272"")"),0)</f>
        <v>0</v>
      </c>
      <c r="J377" s="210">
        <f ca="1">IFERROR(__xludf.DUMMYFUNCTION("IMPORTRANGE(""https://docs.google.com/spreadsheets/d/1IYY_tgx_IHuhSq3AJ5eI5OnqOPBNLWSHKh2a30DoXe8/edit?usp=sharing"",""กระบี่!J272"")"),0)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IFERROR(__xludf.DUMMYFUNCTION("IMPORTRANGE(""https://docs.google.com/spreadsheets/d/1IYY_tgx_IHuhSq3AJ5eI5OnqOPBNLWSHKh2a30DoXe8/edit?usp=sharing"",""กระบี่!J273"")"),0)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IFERROR(__xludf.DUMMYFUNCTION("IMPORTRANGE(""https://docs.google.com/spreadsheets/d/1IYY_tgx_IHuhSq3AJ5eI5OnqOPBNLWSHKh2a30DoXe8/edit?usp=sharing"",""กระบี่!J274"")"),0)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IFERROR(__xludf.DUMMYFUNCTION("IMPORTRANGE(""https://docs.google.com/spreadsheets/d/1IYY_tgx_IHuhSq3AJ5eI5OnqOPBNLWSHKh2a30DoXe8/edit?usp=sharing"",""กระบี่!M275"")"),82580)</f>
        <v>82580</v>
      </c>
      <c r="O380" s="379">
        <f ca="1">+IF(L380&gt;0,N380*100/L380,0)</f>
        <v>28.097992514460699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IFERROR(__xludf.DUMMYFUNCTION("IMPORTRANGE(""https://docs.google.com/spreadsheets/d/1IYY_tgx_IHuhSq3AJ5eI5OnqOPBNLWSHKh2a30DoXe8/edit?usp=sharing"",""กระบี่!L277"")"),0)</f>
        <v>0</v>
      </c>
      <c r="M382" s="168"/>
      <c r="N382" s="168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IFERROR(__xludf.DUMMYFUNCTION("IMPORTRANGE(""https://docs.google.com/spreadsheets/d/1IYY_tgx_IHuhSq3AJ5eI5OnqOPBNLWSHKh2a30DoXe8/edit?usp=sharing"",""กระบี่!M278"")"),82580)</f>
        <v>82580</v>
      </c>
      <c r="O383" s="169">
        <f t="shared" ca="1" si="109"/>
        <v>28.097992514460699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IFERROR(__xludf.DUMMYFUNCTION("IMPORTRANGE(""https://docs.google.com/spreadsheets/d/1IYY_tgx_IHuhSq3AJ5eI5OnqOPBNLWSHKh2a30DoXe8/edit?usp=sharing"",""กระบี่!L279"")"),0)</f>
        <v>0</v>
      </c>
      <c r="M384" s="175"/>
      <c r="N384" s="175">
        <f ca="1">IFERROR(__xludf.DUMMYFUNCTION("IMPORTRANGE(""https://docs.google.com/spreadsheets/d/1IYY_tgx_IHuhSq3AJ5eI5OnqOPBNLWSHKh2a30DoXe8/edit?usp=sharing"",""กระบี่!M279"")"),0)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IFERROR(__xludf.DUMMYFUNCTION("IMPORTRANGE(""https://docs.google.com/spreadsheets/d/1IYY_tgx_IHuhSq3AJ5eI5OnqOPBNLWSHKh2a30DoXe8/edit?usp=sharing"",""กระบี่!L280"")"),293900)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IFERROR(__xludf.DUMMYFUNCTION("IMPORTRANGE(""https://docs.google.com/spreadsheets/d/1IYY_tgx_IHuhSq3AJ5eI5OnqOPBNLWSHKh2a30DoXe8/edit?usp=sharing"",""กระบี่!M280"")"),82580)</f>
        <v>82580</v>
      </c>
      <c r="O385" s="175">
        <f t="shared" ca="1" si="109"/>
        <v>28.097992514460699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IFERROR(__xludf.DUMMYFUNCTION("IMPORTRANGE(""https://docs.google.com/spreadsheets/d/1IYY_tgx_IHuhSq3AJ5eI5OnqOPBNLWSHKh2a30DoXe8/edit?usp=sharing"",""กระบี่!M282"")"),0)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IFERROR(__xludf.DUMMYFUNCTION("IMPORTRANGE(""https://docs.google.com/spreadsheets/d/1IYY_tgx_IHuhSq3AJ5eI5OnqOPBNLWSHKh2a30DoXe8/edit?usp=sharing"",""กระบี่!M284"")"),6380)</f>
        <v>6380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IFERROR(__xludf.DUMMYFUNCTION("IMPORTRANGE(""https://docs.google.com/spreadsheets/d/1IYY_tgx_IHuhSq3AJ5eI5OnqOPBNLWSHKh2a30DoXe8/edit?usp=sharing"",""กระบี่!J286"")"),0)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IFERROR(__xludf.DUMMYFUNCTION("IMPORTRANGE(""https://docs.google.com/spreadsheets/d/1IYY_tgx_IHuhSq3AJ5eI5OnqOPBNLWSHKh2a30DoXe8/edit?usp=sharing"",""กระบี่!J287"")"),1)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IFERROR(__xludf.DUMMYFUNCTION("IMPORTRANGE(""https://docs.google.com/spreadsheets/d/1IYY_tgx_IHuhSq3AJ5eI5OnqOPBNLWSHKh2a30DoXe8/edit?usp=sharing"",""กระบี่!J288"")"),1)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IFERROR(__xludf.DUMMYFUNCTION("IMPORTRANGE(""https://docs.google.com/spreadsheets/d/1IYY_tgx_IHuhSq3AJ5eI5OnqOPBNLWSHKh2a30DoXe8/edit?usp=sharing"",""กระบี่!J289"")"),1)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IFERROR(__xludf.DUMMYFUNCTION("IMPORTRANGE(""https://docs.google.com/spreadsheets/d/1IYY_tgx_IHuhSq3AJ5eI5OnqOPBNLWSHKh2a30DoXe8/edit?usp=sharing"",""กระบี่!I291"")"),30)</f>
        <v>30</v>
      </c>
      <c r="J396" s="204">
        <f ca="1">IFERROR(__xludf.DUMMYFUNCTION("IMPORTRANGE(""https://docs.google.com/spreadsheets/d/1IYY_tgx_IHuhSq3AJ5eI5OnqOPBNLWSHKh2a30DoXe8/edit?usp=sharing"",""กระบี่!J291"")"),30)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IFERROR(__xludf.DUMMYFUNCTION("IMPORTRANGE(""https://docs.google.com/spreadsheets/d/1IYY_tgx_IHuhSq3AJ5eI5OnqOPBNLWSHKh2a30DoXe8/edit?usp=sharing"",""กระบี่!I292"")"),300)</f>
        <v>300</v>
      </c>
      <c r="J397" s="204">
        <f ca="1">IFERROR(__xludf.DUMMYFUNCTION("IMPORTRANGE(""https://docs.google.com/spreadsheets/d/1IYY_tgx_IHuhSq3AJ5eI5OnqOPBNLWSHKh2a30DoXe8/edit?usp=sharing"",""กระบี่!J292"")"),0)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IFERROR(__xludf.DUMMYFUNCTION("IMPORTRANGE(""https://docs.google.com/spreadsheets/d/1IYY_tgx_IHuhSq3AJ5eI5OnqOPBNLWSHKh2a30DoXe8/edit?usp=sharing"",""กระบี่!I293"")"),30)</f>
        <v>30</v>
      </c>
      <c r="J398" s="204">
        <f ca="1">IFERROR(__xludf.DUMMYFUNCTION("IMPORTRANGE(""https://docs.google.com/spreadsheets/d/1IYY_tgx_IHuhSq3AJ5eI5OnqOPBNLWSHKh2a30DoXe8/edit?usp=sharing"",""กระบี่!J293"")"),0)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IFERROR(__xludf.DUMMYFUNCTION("IMPORTRANGE(""https://docs.google.com/spreadsheets/d/1IYY_tgx_IHuhSq3AJ5eI5OnqOPBNLWSHKh2a30DoXe8/edit?usp=sharing"",""กระบี่!J294"")"),0)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IFERROR(__xludf.DUMMYFUNCTION("IMPORTRANGE(""https://docs.google.com/spreadsheets/d/1IYY_tgx_IHuhSq3AJ5eI5OnqOPBNLWSHKh2a30DoXe8/edit?usp=sharing"",""กระบี่!J295"")"),0)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IFERROR(__xludf.DUMMYFUNCTION("IMPORTRANGE(""https://docs.google.com/spreadsheets/d/1IYY_tgx_IHuhSq3AJ5eI5OnqOPBNLWSHKh2a30DoXe8/edit?usp=sharing"",""กระบี่!M296"")"),130590)</f>
        <v>130590</v>
      </c>
      <c r="O401" s="379">
        <f ca="1">+IF(L401&gt;0,N401*100/L401,0)</f>
        <v>99.149646951636171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IFERROR(__xludf.DUMMYFUNCTION("IMPORTRANGE(""https://docs.google.com/spreadsheets/d/1IYY_tgx_IHuhSq3AJ5eI5OnqOPBNLWSHKh2a30DoXe8/edit?usp=sharing"",""กระบี่!L298"")"),0)</f>
        <v>0</v>
      </c>
      <c r="M403" s="168"/>
      <c r="N403" s="175">
        <f ca="1">IFERROR(__xludf.DUMMYFUNCTION("IMPORTRANGE(""https://docs.google.com/spreadsheets/d/1IYY_tgx_IHuhSq3AJ5eI5OnqOPBNLWSHKh2a30DoXe8/edit?usp=sharing"",""กระบี่!M298"")"),0)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IFERROR(__xludf.DUMMYFUNCTION("IMPORTRANGE(""https://docs.google.com/spreadsheets/d/1IYY_tgx_IHuhSq3AJ5eI5OnqOPBNLWSHKh2a30DoXe8/edit?usp=sharing"",""กระบี่!M299"")"),130590)</f>
        <v>130590</v>
      </c>
      <c r="O404" s="175">
        <f t="shared" ca="1" si="112"/>
        <v>99.149646951636171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IFERROR(__xludf.DUMMYFUNCTION("IMPORTRANGE(""https://docs.google.com/spreadsheets/d/1IYY_tgx_IHuhSq3AJ5eI5OnqOPBNLWSHKh2a30DoXe8/edit?usp=sharing"",""กระบี่!L300"")"),0)</f>
        <v>0</v>
      </c>
      <c r="M405" s="175"/>
      <c r="N405" s="175">
        <f ca="1">IFERROR(__xludf.DUMMYFUNCTION("IMPORTRANGE(""https://docs.google.com/spreadsheets/d/1IYY_tgx_IHuhSq3AJ5eI5OnqOPBNLWSHKh2a30DoXe8/edit?usp=sharing"",""กระบี่!M300"")"),0)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IFERROR(__xludf.DUMMYFUNCTION("IMPORTRANGE(""https://docs.google.com/spreadsheets/d/1IYY_tgx_IHuhSq3AJ5eI5OnqOPBNLWSHKh2a30DoXe8/edit?usp=sharing"",""กระบี่!L301"")"),131710)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IFERROR(__xludf.DUMMYFUNCTION("IMPORTRANGE(""https://docs.google.com/spreadsheets/d/1IYY_tgx_IHuhSq3AJ5eI5OnqOPBNLWSHKh2a30DoXe8/edit?usp=sharing"",""กระบี่!M301"")"),130590)</f>
        <v>130590</v>
      </c>
      <c r="O406" s="175">
        <f t="shared" ca="1" si="112"/>
        <v>99.149646951636171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IFERROR(__xludf.DUMMYFUNCTION("IMPORTRANGE(""https://docs.google.com/spreadsheets/d/1IYY_tgx_IHuhSq3AJ5eI5OnqOPBNLWSHKh2a30DoXe8/edit?usp=sharing"",""กระบี่!M302"")"),79090)</f>
        <v>79090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IFERROR(__xludf.DUMMYFUNCTION("IMPORTRANGE(""https://docs.google.com/spreadsheets/d/1IYY_tgx_IHuhSq3AJ5eI5OnqOPBNLWSHKh2a30DoXe8/edit?usp=sharing"",""กระบี่!M303"")"),25500)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IFERROR(__xludf.DUMMYFUNCTION("IMPORTRANGE(""https://docs.google.com/spreadsheets/d/1IYY_tgx_IHuhSq3AJ5eI5OnqOPBNLWSHKh2a30DoXe8/edit?usp=sharing"",""กระบี่!M305"")"),26000)</f>
        <v>26000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IFERROR(__xludf.DUMMYFUNCTION("IMPORTRANGE(""https://docs.google.com/spreadsheets/d/1IYY_tgx_IHuhSq3AJ5eI5OnqOPBNLWSHKh2a30DoXe8/edit?usp=sharing"",""กระบี่!J307"")"),0)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IFERROR(__xludf.DUMMYFUNCTION("IMPORTRANGE(""https://docs.google.com/spreadsheets/d/1IYY_tgx_IHuhSq3AJ5eI5OnqOPBNLWSHKh2a30DoXe8/edit?usp=sharing"",""กระบี่!J308"")"),1)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IFERROR(__xludf.DUMMYFUNCTION("IMPORTRANGE(""https://docs.google.com/spreadsheets/d/1IYY_tgx_IHuhSq3AJ5eI5OnqOPBNLWSHKh2a30DoXe8/edit?usp=sharing"",""กระบี่!J309"")"),1)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IFERROR(__xludf.DUMMYFUNCTION("IMPORTRANGE(""https://docs.google.com/spreadsheets/d/1IYY_tgx_IHuhSq3AJ5eI5OnqOPBNLWSHKh2a30DoXe8/edit?usp=sharing"",""กระบี่!J310"")"),1)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IFERROR(__xludf.DUMMYFUNCTION("IMPORTRANGE(""https://docs.google.com/spreadsheets/d/1IYY_tgx_IHuhSq3AJ5eI5OnqOPBNLWSHKh2a30DoXe8/edit?usp=sharing"",""กระบี่!I311"")"),35)</f>
        <v>35</v>
      </c>
      <c r="J416" s="207">
        <f ca="1">IFERROR(__xludf.DUMMYFUNCTION("IMPORTRANGE(""https://docs.google.com/spreadsheets/d/1IYY_tgx_IHuhSq3AJ5eI5OnqOPBNLWSHKh2a30DoXe8/edit?usp=sharing"",""กระบี่!J311"")"),35)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IFERROR(__xludf.DUMMYFUNCTION("IMPORTRANGE(""https://docs.google.com/spreadsheets/d/1IYY_tgx_IHuhSq3AJ5eI5OnqOPBNLWSHKh2a30DoXe8/edit?usp=sharing"",""กระบี่!J328"")"),0)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IFERROR(__xludf.DUMMYFUNCTION("IMPORTRANGE(""https://docs.google.com/spreadsheets/d/1IYY_tgx_IHuhSq3AJ5eI5OnqOPBNLWSHKh2a30DoXe8/edit?usp=sharing"",""กระบี่!J329"")"),0)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IFERROR(__xludf.DUMMYFUNCTION("IMPORTRANGE(""https://docs.google.com/spreadsheets/d/1IYY_tgx_IHuhSq3AJ5eI5OnqOPBNLWSHKh2a30DoXe8/edit?usp=sharing"",""กระบี่!M330"")"),45304)</f>
        <v>45304</v>
      </c>
      <c r="O435" s="418">
        <f t="shared" ref="O435:O439" ca="1" si="114">+IF(L435&gt;0,N435*100/L435,0)</f>
        <v>59.610526315789471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IFERROR(__xludf.DUMMYFUNCTION("IMPORTRANGE(""https://docs.google.com/spreadsheets/d/1IYY_tgx_IHuhSq3AJ5eI5OnqOPBNLWSHKh2a30DoXe8/edit?usp=sharing"",""กระบี่!L331"")"),0)</f>
        <v>0</v>
      </c>
      <c r="M436" s="168"/>
      <c r="N436" s="175">
        <f ca="1">IFERROR(__xludf.DUMMYFUNCTION("IMPORTRANGE(""https://docs.google.com/spreadsheets/d/1IYY_tgx_IHuhSq3AJ5eI5OnqOPBNLWSHKh2a30DoXe8/edit?usp=sharing"",""กระบี่!M331"")"),0)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IFERROR(__xludf.DUMMYFUNCTION("IMPORTRANGE(""https://docs.google.com/spreadsheets/d/1IYY_tgx_IHuhSq3AJ5eI5OnqOPBNLWSHKh2a30DoXe8/edit?usp=sharing"",""กระบี่!L332"")"),76000)</f>
        <v>76000</v>
      </c>
      <c r="M437" s="169"/>
      <c r="N437" s="175">
        <f ca="1">IFERROR(__xludf.DUMMYFUNCTION("IMPORTRANGE(""https://docs.google.com/spreadsheets/d/1IYY_tgx_IHuhSq3AJ5eI5OnqOPBNLWSHKh2a30DoXe8/edit?usp=sharing"",""กระบี่!M332"")"),45304)</f>
        <v>45304</v>
      </c>
      <c r="O437" s="175">
        <f t="shared" ca="1" si="114"/>
        <v>59.610526315789471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IFERROR(__xludf.DUMMYFUNCTION("IMPORTRANGE(""https://docs.google.com/spreadsheets/d/1IYY_tgx_IHuhSq3AJ5eI5OnqOPBNLWSHKh2a30DoXe8/edit?usp=sharing"",""กระบี่!L333"")"),0)</f>
        <v>0</v>
      </c>
      <c r="M438" s="175"/>
      <c r="N438" s="175">
        <f ca="1">IFERROR(__xludf.DUMMYFUNCTION("IMPORTRANGE(""https://docs.google.com/spreadsheets/d/1IYY_tgx_IHuhSq3AJ5eI5OnqOPBNLWSHKh2a30DoXe8/edit?usp=sharing"",""กระบี่!M333"")"),0)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IFERROR(__xludf.DUMMYFUNCTION("IMPORTRANGE(""https://docs.google.com/spreadsheets/d/1IYY_tgx_IHuhSq3AJ5eI5OnqOPBNLWSHKh2a30DoXe8/edit?usp=sharing"",""กระบี่!L334"")"),76000)</f>
        <v>76000</v>
      </c>
      <c r="M439" s="175"/>
      <c r="N439" s="175">
        <f ca="1">IFERROR(__xludf.DUMMYFUNCTION("IMPORTRANGE(""https://docs.google.com/spreadsheets/d/1IYY_tgx_IHuhSq3AJ5eI5OnqOPBNLWSHKh2a30DoXe8/edit?usp=sharing"",""กระบี่!M334"")"),45304)</f>
        <v>45304</v>
      </c>
      <c r="O439" s="175">
        <f t="shared" ca="1" si="114"/>
        <v>59.610526315789471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IFERROR(__xludf.DUMMYFUNCTION("IMPORTRANGE(""https://docs.google.com/spreadsheets/d/1IYY_tgx_IHuhSq3AJ5eI5OnqOPBNLWSHKh2a30DoXe8/edit?usp=sharing"",""กระบี่!M335"")"),32960)</f>
        <v>32960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IFERROR(__xludf.DUMMYFUNCTION("IMPORTRANGE(""https://docs.google.com/spreadsheets/d/1IYY_tgx_IHuhSq3AJ5eI5OnqOPBNLWSHKh2a30DoXe8/edit?usp=sharing"",""กระบี่!M338"")"),12344)</f>
        <v>12344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IFERROR(__xludf.DUMMYFUNCTION("IMPORTRANGE(""https://docs.google.com/spreadsheets/d/1IYY_tgx_IHuhSq3AJ5eI5OnqOPBNLWSHKh2a30DoXe8/edit?usp=sharing"",""กระบี่!J340"")"),0)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IFERROR(__xludf.DUMMYFUNCTION("IMPORTRANGE(""https://docs.google.com/spreadsheets/d/1IYY_tgx_IHuhSq3AJ5eI5OnqOPBNLWSHKh2a30DoXe8/edit?usp=sharing"",""กระบี่!J341"")"),1)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IFERROR(__xludf.DUMMYFUNCTION("IMPORTRANGE(""https://docs.google.com/spreadsheets/d/1IYY_tgx_IHuhSq3AJ5eI5OnqOPBNLWSHKh2a30DoXe8/edit?usp=sharing"",""กระบี่!J342"")"),1)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IFERROR(__xludf.DUMMYFUNCTION("IMPORTRANGE(""https://docs.google.com/spreadsheets/d/1IYY_tgx_IHuhSq3AJ5eI5OnqOPBNLWSHKh2a30DoXe8/edit?usp=sharing"",""กระบี่!J343"")"),1)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7">
        <f ca="1">IFERROR(__xludf.DUMMYFUNCTION("IMPORTRANGE(""https://docs.google.com/spreadsheets/d/1IYY_tgx_IHuhSq3AJ5eI5OnqOPBNLWSHKh2a30DoXe8/edit?usp=sharing"",""กระบี่!J344"")"),10)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5">
        <f ca="1">IFERROR(__xludf.DUMMYFUNCTION("IMPORTRANGE(""https://docs.google.com/spreadsheets/d/1IYY_tgx_IHuhSq3AJ5eI5OnqOPBNLWSHKh2a30DoXe8/edit?usp=sharing"",""กระบี่!J345"")"),10)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4">
        <f ca="1">IFERROR(__xludf.DUMMYFUNCTION("IMPORTRANGE(""https://docs.google.com/spreadsheets/d/1IYY_tgx_IHuhSq3AJ5eI5OnqOPBNLWSHKh2a30DoXe8/edit?usp=sharing"",""กระบี่!J346"")"),0)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IFERROR(__xludf.DUMMYFUNCTION("IMPORTRANGE(""https://docs.google.com/spreadsheets/d/1IYY_tgx_IHuhSq3AJ5eI5OnqOPBNLWSHKh2a30DoXe8/edit?usp=sharing"",""กระบี่!I347"")"),0)</f>
        <v>0</v>
      </c>
      <c r="J452" s="194">
        <f ca="1">IFERROR(__xludf.DUMMYFUNCTION("IMPORTRANGE(""https://docs.google.com/spreadsheets/d/1IYY_tgx_IHuhSq3AJ5eI5OnqOPBNLWSHKh2a30DoXe8/edit?usp=sharing"",""กระบี่!J347"")"),0)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IFERROR(__xludf.DUMMYFUNCTION("IMPORTRANGE(""https://docs.google.com/spreadsheets/d/1IYY_tgx_IHuhSq3AJ5eI5OnqOPBNLWSHKh2a30DoXe8/edit?usp=sharing"",""กระบี่!J348"")"),0)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IFERROR(__xludf.DUMMYFUNCTION("IMPORTRANGE(""https://docs.google.com/spreadsheets/d/1IYY_tgx_IHuhSq3AJ5eI5OnqOPBNLWSHKh2a30DoXe8/edit?usp=sharing"",""กระบี่!J349"")"),0)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IFERROR(__xludf.DUMMYFUNCTION("IMPORTRANGE(""https://docs.google.com/spreadsheets/d/1IYY_tgx_IHuhSq3AJ5eI5OnqOPBNLWSHKh2a30DoXe8/edit?usp=sharing"",""กระบี่!J350"")"),60350)</f>
        <v>60350</v>
      </c>
      <c r="K455" s="378">
        <f ca="1">IF(I455&gt;0,J455*100/I455,0)</f>
        <v>90.931006946013952</v>
      </c>
      <c r="L455" s="379">
        <f ca="1">IFERROR(__xludf.DUMMYFUNCTION("IMPORTRANGE(""https://docs.google.com/spreadsheets/d/1IYY_tgx_IHuhSq3AJ5eI5OnqOPBNLWSHKh2a30DoXe8/edit?usp=sharing"",""กระบี่!L350"")"),542383)</f>
        <v>542383</v>
      </c>
      <c r="M455" s="379"/>
      <c r="N455" s="379">
        <f ca="1">IFERROR(__xludf.DUMMYFUNCTION("IMPORTRANGE(""https://docs.google.com/spreadsheets/d/1IYY_tgx_IHuhSq3AJ5eI5OnqOPBNLWSHKh2a30DoXe8/edit?usp=sharing"",""กระบี่!M350"")"),171129.36)</f>
        <v>171129.36</v>
      </c>
      <c r="O455" s="379">
        <f t="shared" ref="O455:O459" ca="1" si="116">+IF(L455&gt;0,N455*100/L455,0)</f>
        <v>31.551387119434054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IFERROR(__xludf.DUMMYFUNCTION("IMPORTRANGE(""https://docs.google.com/spreadsheets/d/1IYY_tgx_IHuhSq3AJ5eI5OnqOPBNLWSHKh2a30DoXe8/edit?usp=sharing"",""กระบี่!L351"")"),0)</f>
        <v>0</v>
      </c>
      <c r="M456" s="168"/>
      <c r="N456" s="175">
        <f ca="1">IFERROR(__xludf.DUMMYFUNCTION("IMPORTRANGE(""https://docs.google.com/spreadsheets/d/1IYY_tgx_IHuhSq3AJ5eI5OnqOPBNLWSHKh2a30DoXe8/edit?usp=sharing"",""กระบี่!M351"")"),0)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IFERROR(__xludf.DUMMYFUNCTION("IMPORTRANGE(""https://docs.google.com/spreadsheets/d/1IYY_tgx_IHuhSq3AJ5eI5OnqOPBNLWSHKh2a30DoXe8/edit?usp=sharing"",""กระบี่!L352"")"),542383)</f>
        <v>542383</v>
      </c>
      <c r="M457" s="169"/>
      <c r="N457" s="175">
        <f ca="1">IFERROR(__xludf.DUMMYFUNCTION("IMPORTRANGE(""https://docs.google.com/spreadsheets/d/1IYY_tgx_IHuhSq3AJ5eI5OnqOPBNLWSHKh2a30DoXe8/edit?usp=sharing"",""กระบี่!M352"")"),171129.36)</f>
        <v>171129.36</v>
      </c>
      <c r="O457" s="175">
        <f t="shared" ca="1" si="116"/>
        <v>31.551387119434054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IFERROR(__xludf.DUMMYFUNCTION("IMPORTRANGE(""https://docs.google.com/spreadsheets/d/1IYY_tgx_IHuhSq3AJ5eI5OnqOPBNLWSHKh2a30DoXe8/edit?usp=sharing"",""กระบี่!L353"")"),0)</f>
        <v>0</v>
      </c>
      <c r="M458" s="175"/>
      <c r="N458" s="175">
        <f ca="1">IFERROR(__xludf.DUMMYFUNCTION("IMPORTRANGE(""https://docs.google.com/spreadsheets/d/1IYY_tgx_IHuhSq3AJ5eI5OnqOPBNLWSHKh2a30DoXe8/edit?usp=sharing"",""กระบี่!M353"")"),0)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IFERROR(__xludf.DUMMYFUNCTION("IMPORTRANGE(""https://docs.google.com/spreadsheets/d/1IYY_tgx_IHuhSq3AJ5eI5OnqOPBNLWSHKh2a30DoXe8/edit?usp=sharing"",""กระบี่!L354"")"),542383)</f>
        <v>542383</v>
      </c>
      <c r="M459" s="175"/>
      <c r="N459" s="175">
        <f ca="1">IFERROR(__xludf.DUMMYFUNCTION("IMPORTRANGE(""https://docs.google.com/spreadsheets/d/1IYY_tgx_IHuhSq3AJ5eI5OnqOPBNLWSHKh2a30DoXe8/edit?usp=sharing"",""กระบี่!M354"")"),171129.36)</f>
        <v>171129.36</v>
      </c>
      <c r="O459" s="175">
        <f t="shared" ca="1" si="116"/>
        <v>31.551387119434054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IFERROR(__xludf.DUMMYFUNCTION("IMPORTRANGE(""https://docs.google.com/spreadsheets/d/1IYY_tgx_IHuhSq3AJ5eI5OnqOPBNLWSHKh2a30DoXe8/edit?usp=sharing"",""กระบี่!M355"")"),0)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IFERROR(__xludf.DUMMYFUNCTION("IMPORTRANGE(""https://docs.google.com/spreadsheets/d/1IYY_tgx_IHuhSq3AJ5eI5OnqOPBNLWSHKh2a30DoXe8/edit?usp=sharing"",""กระบี่!M356"")"),0)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IFERROR(__xludf.DUMMYFUNCTION("IMPORTRANGE(""https://docs.google.com/spreadsheets/d/1IYY_tgx_IHuhSq3AJ5eI5OnqOPBNLWSHKh2a30DoXe8/edit?usp=sharing"",""กระบี่!M357"")"),70967.76)</f>
        <v>70967.759999999995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IFERROR(__xludf.DUMMYFUNCTION("IMPORTRANGE(""https://docs.google.com/spreadsheets/d/1IYY_tgx_IHuhSq3AJ5eI5OnqOPBNLWSHKh2a30DoXe8/edit?usp=sharing"",""กระบี่!M358"")"),100161.6)</f>
        <v>100161.60000000001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IFERROR(__xludf.DUMMYFUNCTION("IMPORTRANGE(""https://docs.google.com/spreadsheets/d/1IYY_tgx_IHuhSq3AJ5eI5OnqOPBNLWSHKh2a30DoXe8/edit?usp=sharing"",""กระบี่!I359"")"),66369)</f>
        <v>66369</v>
      </c>
      <c r="J464" s="273">
        <f ca="1">IFERROR(__xludf.DUMMYFUNCTION("IMPORTRANGE(""https://docs.google.com/spreadsheets/d/1IYY_tgx_IHuhSq3AJ5eI5OnqOPBNLWSHKh2a30DoXe8/edit?usp=sharing"",""กระบี่!J359"")"),60350)</f>
        <v>60350</v>
      </c>
      <c r="K464" s="274">
        <f t="shared" ref="K464:K515" ca="1" si="117">IF(I464&gt;0,J464*100/I464,0)</f>
        <v>90.931006946013952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IFERROR(__xludf.DUMMYFUNCTION("IMPORTRANGE(""https://docs.google.com/spreadsheets/d/1IYY_tgx_IHuhSq3AJ5eI5OnqOPBNLWSHKh2a30DoXe8/edit?usp=sharing"",""กระบี่!J360"")"),66369)</f>
        <v>66369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IFERROR(__xludf.DUMMYFUNCTION("IMPORTRANGE(""https://docs.google.com/spreadsheets/d/1IYY_tgx_IHuhSq3AJ5eI5OnqOPBNLWSHKh2a30DoXe8/edit?usp=sharing"",""กระบี่!I362"")"),0)</f>
        <v>0</v>
      </c>
      <c r="J467" s="195">
        <f ca="1">IFERROR(__xludf.DUMMYFUNCTION("IMPORTRANGE(""https://docs.google.com/spreadsheets/d/1IYY_tgx_IHuhSq3AJ5eI5OnqOPBNLWSHKh2a30DoXe8/edit?usp=sharing"",""กระบี่!J362"")"),59431)</f>
        <v>59431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IFERROR(__xludf.DUMMYFUNCTION("IMPORTRANGE(""https://docs.google.com/spreadsheets/d/1IYY_tgx_IHuhSq3AJ5eI5OnqOPBNLWSHKh2a30DoXe8/edit?usp=sharing"",""กระบี่!I363"")"),0)</f>
        <v>0</v>
      </c>
      <c r="J468" s="195">
        <f ca="1">IFERROR(__xludf.DUMMYFUNCTION("IMPORTRANGE(""https://docs.google.com/spreadsheets/d/1IYY_tgx_IHuhSq3AJ5eI5OnqOPBNLWSHKh2a30DoXe8/edit?usp=sharing"",""กระบี่!J363"")"),3640)</f>
        <v>3640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IFERROR(__xludf.DUMMYFUNCTION("IMPORTRANGE(""https://docs.google.com/spreadsheets/d/1IYY_tgx_IHuhSq3AJ5eI5OnqOPBNLWSHKh2a30DoXe8/edit?usp=sharing"",""กระบี่!I364"")"),0)</f>
        <v>0</v>
      </c>
      <c r="J469" s="195">
        <f ca="1">IFERROR(__xludf.DUMMYFUNCTION("IMPORTRANGE(""https://docs.google.com/spreadsheets/d/1IYY_tgx_IHuhSq3AJ5eI5OnqOPBNLWSHKh2a30DoXe8/edit?usp=sharing"",""กระบี่!J364"")"),6391)</f>
        <v>6391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IFERROR(__xludf.DUMMYFUNCTION("IMPORTRANGE(""https://docs.google.com/spreadsheets/d/1IYY_tgx_IHuhSq3AJ5eI5OnqOPBNLWSHKh2a30DoXe8/edit?usp=sharing"",""กระบี่!I365"")"),0)</f>
        <v>0</v>
      </c>
      <c r="J470" s="195">
        <f ca="1">IFERROR(__xludf.DUMMYFUNCTION("IMPORTRANGE(""https://docs.google.com/spreadsheets/d/1IYY_tgx_IHuhSq3AJ5eI5OnqOPBNLWSHKh2a30DoXe8/edit?usp=sharing"",""กระบี่!J365"")"),369)</f>
        <v>369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IFERROR(__xludf.DUMMYFUNCTION("IMPORTRANGE(""https://docs.google.com/spreadsheets/d/1IYY_tgx_IHuhSq3AJ5eI5OnqOPBNLWSHKh2a30DoXe8/edit?usp=sharing"",""กระบี่!I366"")"),0)</f>
        <v>0</v>
      </c>
      <c r="J471" s="195">
        <f ca="1">IFERROR(__xludf.DUMMYFUNCTION("IMPORTRANGE(""https://docs.google.com/spreadsheets/d/1IYY_tgx_IHuhSq3AJ5eI5OnqOPBNLWSHKh2a30DoXe8/edit?usp=sharing"",""กระบี่!J366"")"),547)</f>
        <v>547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IFERROR(__xludf.DUMMYFUNCTION("IMPORTRANGE(""https://docs.google.com/spreadsheets/d/1IYY_tgx_IHuhSq3AJ5eI5OnqOPBNLWSHKh2a30DoXe8/edit?usp=sharing"",""กระบี่!I367"")"),0)</f>
        <v>0</v>
      </c>
      <c r="J472" s="195">
        <f ca="1">IFERROR(__xludf.DUMMYFUNCTION("IMPORTRANGE(""https://docs.google.com/spreadsheets/d/1IYY_tgx_IHuhSq3AJ5eI5OnqOPBNLWSHKh2a30DoXe8/edit?usp=sharing"",""กระบี่!J367"")"),42)</f>
        <v>42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IFERROR(__xludf.DUMMYFUNCTION("IMPORTRANGE(""https://docs.google.com/spreadsheets/d/1IYY_tgx_IHuhSq3AJ5eI5OnqOPBNLWSHKh2a30DoXe8/edit?usp=sharing"",""กระบี่!J368"")"),66370)</f>
        <v>66370</v>
      </c>
      <c r="K473" s="208">
        <f t="shared" ca="1" si="117"/>
        <v>100.00150672753846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IFERROR(__xludf.DUMMYFUNCTION("IMPORTRANGE(""https://docs.google.com/spreadsheets/d/1IYY_tgx_IHuhSq3AJ5eI5OnqOPBNLWSHKh2a30DoXe8/edit?usp=sharing"",""กระบี่!J369"")"),4051)</f>
        <v>4051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IFERROR(__xludf.DUMMYFUNCTION("IMPORTRANGE(""https://docs.google.com/spreadsheets/d/1IYY_tgx_IHuhSq3AJ5eI5OnqOPBNLWSHKh2a30DoXe8/edit?usp=sharing"",""กระบี่!I370"")"),0)</f>
        <v>0</v>
      </c>
      <c r="J475" s="195">
        <f ca="1">IFERROR(__xludf.DUMMYFUNCTION("IMPORTRANGE(""https://docs.google.com/spreadsheets/d/1IYY_tgx_IHuhSq3AJ5eI5OnqOPBNLWSHKh2a30DoXe8/edit?usp=sharing"",""กระบี่!J370"")"),60350)</f>
        <v>60350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IFERROR(__xludf.DUMMYFUNCTION("IMPORTRANGE(""https://docs.google.com/spreadsheets/d/1IYY_tgx_IHuhSq3AJ5eI5OnqOPBNLWSHKh2a30DoXe8/edit?usp=sharing"",""กระบี่!I371"")"),0)</f>
        <v>0</v>
      </c>
      <c r="J476" s="195">
        <f ca="1">IFERROR(__xludf.DUMMYFUNCTION("IMPORTRANGE(""https://docs.google.com/spreadsheets/d/1IYY_tgx_IHuhSq3AJ5eI5OnqOPBNLWSHKh2a30DoXe8/edit?usp=sharing"",""กระบี่!J371"")"),3710)</f>
        <v>3710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IFERROR(__xludf.DUMMYFUNCTION("IMPORTRANGE(""https://docs.google.com/spreadsheets/d/1IYY_tgx_IHuhSq3AJ5eI5OnqOPBNLWSHKh2a30DoXe8/edit?usp=sharing"",""กระบี่!I372"")"),0)</f>
        <v>0</v>
      </c>
      <c r="J477" s="195">
        <f ca="1">IFERROR(__xludf.DUMMYFUNCTION("IMPORTRANGE(""https://docs.google.com/spreadsheets/d/1IYY_tgx_IHuhSq3AJ5eI5OnqOPBNLWSHKh2a30DoXe8/edit?usp=sharing"",""กระบี่!J372"")"),5501)</f>
        <v>5501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IFERROR(__xludf.DUMMYFUNCTION("IMPORTRANGE(""https://docs.google.com/spreadsheets/d/1IYY_tgx_IHuhSq3AJ5eI5OnqOPBNLWSHKh2a30DoXe8/edit?usp=sharing"",""กระบี่!I373"")"),0)</f>
        <v>0</v>
      </c>
      <c r="J478" s="195">
        <f ca="1">IFERROR(__xludf.DUMMYFUNCTION("IMPORTRANGE(""https://docs.google.com/spreadsheets/d/1IYY_tgx_IHuhSq3AJ5eI5OnqOPBNLWSHKh2a30DoXe8/edit?usp=sharing"",""กระบี่!J373"")"),301)</f>
        <v>301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IFERROR(__xludf.DUMMYFUNCTION("IMPORTRANGE(""https://docs.google.com/spreadsheets/d/1IYY_tgx_IHuhSq3AJ5eI5OnqOPBNLWSHKh2a30DoXe8/edit?usp=sharing"",""กระบี่!I374"")"),0)</f>
        <v>0</v>
      </c>
      <c r="J479" s="195">
        <f ca="1">IFERROR(__xludf.DUMMYFUNCTION("IMPORTRANGE(""https://docs.google.com/spreadsheets/d/1IYY_tgx_IHuhSq3AJ5eI5OnqOPBNLWSHKh2a30DoXe8/edit?usp=sharing"",""กระบี่!J374"")"),519)</f>
        <v>519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IFERROR(__xludf.DUMMYFUNCTION("IMPORTRANGE(""https://docs.google.com/spreadsheets/d/1IYY_tgx_IHuhSq3AJ5eI5OnqOPBNLWSHKh2a30DoXe8/edit?usp=sharing"",""กระบี่!I375"")"),0)</f>
        <v>0</v>
      </c>
      <c r="J480" s="195">
        <f ca="1">IFERROR(__xludf.DUMMYFUNCTION("IMPORTRANGE(""https://docs.google.com/spreadsheets/d/1IYY_tgx_IHuhSq3AJ5eI5OnqOPBNLWSHKh2a30DoXe8/edit?usp=sharing"",""กระบี่!J375"")"),40)</f>
        <v>40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IFERROR(__xludf.DUMMYFUNCTION("IMPORTRANGE(""https://docs.google.com/spreadsheets/d/1IYY_tgx_IHuhSq3AJ5eI5OnqOPBNLWSHKh2a30DoXe8/edit?usp=sharing"",""กระบี่!J376"")"),60350)</f>
        <v>60350</v>
      </c>
      <c r="K481" s="208">
        <f t="shared" ca="1" si="117"/>
        <v>90.931006946013952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IFERROR(__xludf.DUMMYFUNCTION("IMPORTRANGE(""https://docs.google.com/spreadsheets/d/1IYY_tgx_IHuhSq3AJ5eI5OnqOPBNLWSHKh2a30DoXe8/edit?usp=sharing"",""กระบี่!J377"")"),3710)</f>
        <v>3710</v>
      </c>
      <c r="K482" s="208">
        <f t="shared" ca="1" si="117"/>
        <v>91.582325351764993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IFERROR(__xludf.DUMMYFUNCTION("IMPORTRANGE(""https://docs.google.com/spreadsheets/d/1IYY_tgx_IHuhSq3AJ5eI5OnqOPBNLWSHKh2a30DoXe8/edit?usp=sharing"",""กระบี่!I378"")"),0)</f>
        <v>0</v>
      </c>
      <c r="J483" s="195">
        <f ca="1">IFERROR(__xludf.DUMMYFUNCTION("IMPORTRANGE(""https://docs.google.com/spreadsheets/d/1IYY_tgx_IHuhSq3AJ5eI5OnqOPBNLWSHKh2a30DoXe8/edit?usp=sharing"",""กระบี่!J378"")"),60350)</f>
        <v>60350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IFERROR(__xludf.DUMMYFUNCTION("IMPORTRANGE(""https://docs.google.com/spreadsheets/d/1IYY_tgx_IHuhSq3AJ5eI5OnqOPBNLWSHKh2a30DoXe8/edit?usp=sharing"",""กระบี่!I379"")"),0)</f>
        <v>0</v>
      </c>
      <c r="J484" s="195">
        <f ca="1">IFERROR(__xludf.DUMMYFUNCTION("IMPORTRANGE(""https://docs.google.com/spreadsheets/d/1IYY_tgx_IHuhSq3AJ5eI5OnqOPBNLWSHKh2a30DoXe8/edit?usp=sharing"",""กระบี่!J379"")"),3710)</f>
        <v>3710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IFERROR(__xludf.DUMMYFUNCTION("IMPORTRANGE(""https://docs.google.com/spreadsheets/d/1IYY_tgx_IHuhSq3AJ5eI5OnqOPBNLWSHKh2a30DoXe8/edit?usp=sharing"",""กระบี่!I380"")"),0)</f>
        <v>0</v>
      </c>
      <c r="J485" s="195">
        <f ca="1">IFERROR(__xludf.DUMMYFUNCTION("IMPORTRANGE(""https://docs.google.com/spreadsheets/d/1IYY_tgx_IHuhSq3AJ5eI5OnqOPBNLWSHKh2a30DoXe8/edit?usp=sharing"",""กระบี่!J380"")"),0)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IFERROR(__xludf.DUMMYFUNCTION("IMPORTRANGE(""https://docs.google.com/spreadsheets/d/1IYY_tgx_IHuhSq3AJ5eI5OnqOPBNLWSHKh2a30DoXe8/edit?usp=sharing"",""กระบี่!I381"")"),0)</f>
        <v>0</v>
      </c>
      <c r="J486" s="195">
        <f ca="1">IFERROR(__xludf.DUMMYFUNCTION("IMPORTRANGE(""https://docs.google.com/spreadsheets/d/1IYY_tgx_IHuhSq3AJ5eI5OnqOPBNLWSHKh2a30DoXe8/edit?usp=sharing"",""กระบี่!J381"")"),0)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IFERROR(__xludf.DUMMYFUNCTION("IMPORTRANGE(""https://docs.google.com/spreadsheets/d/1IYY_tgx_IHuhSq3AJ5eI5OnqOPBNLWSHKh2a30DoXe8/edit?usp=sharing"",""กระบี่!I384"")"),0)</f>
        <v>0</v>
      </c>
      <c r="J489" s="195">
        <f ca="1">IFERROR(__xludf.DUMMYFUNCTION("IMPORTRANGE(""https://docs.google.com/spreadsheets/d/1IYY_tgx_IHuhSq3AJ5eI5OnqOPBNLWSHKh2a30DoXe8/edit?usp=sharing"",""กระบี่!J384"")"),0)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IFERROR(__xludf.DUMMYFUNCTION("IMPORTRANGE(""https://docs.google.com/spreadsheets/d/1IYY_tgx_IHuhSq3AJ5eI5OnqOPBNLWSHKh2a30DoXe8/edit?usp=sharing"",""กระบี่!I385"")"),0)</f>
        <v>0</v>
      </c>
      <c r="J490" s="195">
        <f ca="1">IFERROR(__xludf.DUMMYFUNCTION("IMPORTRANGE(""https://docs.google.com/spreadsheets/d/1IYY_tgx_IHuhSq3AJ5eI5OnqOPBNLWSHKh2a30DoXe8/edit?usp=sharing"",""กระบี่!J385"")"),0)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IFERROR(__xludf.DUMMYFUNCTION("IMPORTRANGE(""https://docs.google.com/spreadsheets/d/1IYY_tgx_IHuhSq3AJ5eI5OnqOPBNLWSHKh2a30DoXe8/edit?usp=sharing"",""กระบี่!I386"")"),0)</f>
        <v>0</v>
      </c>
      <c r="J491" s="195">
        <f ca="1">IFERROR(__xludf.DUMMYFUNCTION("IMPORTRANGE(""https://docs.google.com/spreadsheets/d/1IYY_tgx_IHuhSq3AJ5eI5OnqOPBNLWSHKh2a30DoXe8/edit?usp=sharing"",""กระบี่!J386"")"),0)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IFERROR(__xludf.DUMMYFUNCTION("IMPORTRANGE(""https://docs.google.com/spreadsheets/d/1IYY_tgx_IHuhSq3AJ5eI5OnqOPBNLWSHKh2a30DoXe8/edit?usp=sharing"",""กระบี่!I387"")"),0)</f>
        <v>0</v>
      </c>
      <c r="J492" s="195">
        <f ca="1">IFERROR(__xludf.DUMMYFUNCTION("IMPORTRANGE(""https://docs.google.com/spreadsheets/d/1IYY_tgx_IHuhSq3AJ5eI5OnqOPBNLWSHKh2a30DoXe8/edit?usp=sharing"",""กระบี่!J387"")"),0)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IFERROR(__xludf.DUMMYFUNCTION("IMPORTRANGE(""https://docs.google.com/spreadsheets/d/1IYY_tgx_IHuhSq3AJ5eI5OnqOPBNLWSHKh2a30DoXe8/edit?usp=sharing"",""กระบี่!I388"")"),0)</f>
        <v>0</v>
      </c>
      <c r="J493" s="195">
        <f ca="1">IFERROR(__xludf.DUMMYFUNCTION("IMPORTRANGE(""https://docs.google.com/spreadsheets/d/1IYY_tgx_IHuhSq3AJ5eI5OnqOPBNLWSHKh2a30DoXe8/edit?usp=sharing"",""กระบี่!J388"")"),0)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IFERROR(__xludf.DUMMYFUNCTION("IMPORTRANGE(""https://docs.google.com/spreadsheets/d/1IYY_tgx_IHuhSq3AJ5eI5OnqOPBNLWSHKh2a30DoXe8/edit?usp=sharing"",""กระบี่!I395"")"),0)</f>
        <v>0</v>
      </c>
      <c r="J500" s="166">
        <f ca="1">IFERROR(__xludf.DUMMYFUNCTION("IMPORTRANGE(""https://docs.google.com/spreadsheets/d/1IYY_tgx_IHuhSq3AJ5eI5OnqOPBNLWSHKh2a30DoXe8/edit?usp=sharing"",""กระบี่!J395"")"),0)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IFERROR(__xludf.DUMMYFUNCTION("IMPORTRANGE(""https://docs.google.com/spreadsheets/d/1IYY_tgx_IHuhSq3AJ5eI5OnqOPBNLWSHKh2a30DoXe8/edit?usp=sharing"",""กระบี่!I396"")"),0)</f>
        <v>0</v>
      </c>
      <c r="J501" s="166">
        <f ca="1">IFERROR(__xludf.DUMMYFUNCTION("IMPORTRANGE(""https://docs.google.com/spreadsheets/d/1IYY_tgx_IHuhSq3AJ5eI5OnqOPBNLWSHKh2a30DoXe8/edit?usp=sharing"",""กระบี่!J396"")"),0)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IFERROR(__xludf.DUMMYFUNCTION("IMPORTRANGE(""https://docs.google.com/spreadsheets/d/1IYY_tgx_IHuhSq3AJ5eI5OnqOPBNLWSHKh2a30DoXe8/edit?usp=sharing"",""กระบี่!I397"")"),0)</f>
        <v>0</v>
      </c>
      <c r="J502" s="195">
        <f ca="1">IFERROR(__xludf.DUMMYFUNCTION("IMPORTRANGE(""https://docs.google.com/spreadsheets/d/1IYY_tgx_IHuhSq3AJ5eI5OnqOPBNLWSHKh2a30DoXe8/edit?usp=sharing"",""กระบี่!J397"")"),0)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IFERROR(__xludf.DUMMYFUNCTION("IMPORTRANGE(""https://docs.google.com/spreadsheets/d/1IYY_tgx_IHuhSq3AJ5eI5OnqOPBNLWSHKh2a30DoXe8/edit?usp=sharing"",""กระบี่!I398"")"),0)</f>
        <v>0</v>
      </c>
      <c r="J503" s="204">
        <f ca="1">IFERROR(__xludf.DUMMYFUNCTION("IMPORTRANGE(""https://docs.google.com/spreadsheets/d/1IYY_tgx_IHuhSq3AJ5eI5OnqOPBNLWSHKh2a30DoXe8/edit?usp=sharing"",""กระบี่!J398"")"),0)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IFERROR(__xludf.DUMMYFUNCTION("IMPORTRANGE(""https://docs.google.com/spreadsheets/d/1IYY_tgx_IHuhSq3AJ5eI5OnqOPBNLWSHKh2a30DoXe8/edit?usp=sharing"",""กระบี่!I399"")"),0)</f>
        <v>0</v>
      </c>
      <c r="J504" s="195">
        <f ca="1">IFERROR(__xludf.DUMMYFUNCTION("IMPORTRANGE(""https://docs.google.com/spreadsheets/d/1IYY_tgx_IHuhSq3AJ5eI5OnqOPBNLWSHKh2a30DoXe8/edit?usp=sharing"",""กระบี่!J399"")"),0)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IFERROR(__xludf.DUMMYFUNCTION("IMPORTRANGE(""https://docs.google.com/spreadsheets/d/1IYY_tgx_IHuhSq3AJ5eI5OnqOPBNLWSHKh2a30DoXe8/edit?usp=sharing"",""กระบี่!I400"")"),0)</f>
        <v>0</v>
      </c>
      <c r="J505" s="204">
        <f ca="1">IFERROR(__xludf.DUMMYFUNCTION("IMPORTRANGE(""https://docs.google.com/spreadsheets/d/1IYY_tgx_IHuhSq3AJ5eI5OnqOPBNLWSHKh2a30DoXe8/edit?usp=sharing"",""กระบี่!J400"")"),0)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IFERROR(__xludf.DUMMYFUNCTION("IMPORTRANGE(""https://docs.google.com/spreadsheets/d/1IYY_tgx_IHuhSq3AJ5eI5OnqOPBNLWSHKh2a30DoXe8/edit?usp=sharing"",""กระบี่!I401"")"),0)</f>
        <v>0</v>
      </c>
      <c r="J506" s="195">
        <f ca="1">IFERROR(__xludf.DUMMYFUNCTION("IMPORTRANGE(""https://docs.google.com/spreadsheets/d/1IYY_tgx_IHuhSq3AJ5eI5OnqOPBNLWSHKh2a30DoXe8/edit?usp=sharing"",""กระบี่!J401"")"),0)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IFERROR(__xludf.DUMMYFUNCTION("IMPORTRANGE(""https://docs.google.com/spreadsheets/d/1IYY_tgx_IHuhSq3AJ5eI5OnqOPBNLWSHKh2a30DoXe8/edit?usp=sharing"",""กระบี่!I402"")"),0)</f>
        <v>0</v>
      </c>
      <c r="J507" s="204">
        <f ca="1">IFERROR(__xludf.DUMMYFUNCTION("IMPORTRANGE(""https://docs.google.com/spreadsheets/d/1IYY_tgx_IHuhSq3AJ5eI5OnqOPBNLWSHKh2a30DoXe8/edit?usp=sharing"",""กระบี่!J402"")"),0)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IFERROR(__xludf.DUMMYFUNCTION("IMPORTRANGE(""https://docs.google.com/spreadsheets/d/1IYY_tgx_IHuhSq3AJ5eI5OnqOPBNLWSHKh2a30DoXe8/edit?usp=sharing"",""กระบี่!I403"")"),0)</f>
        <v>0</v>
      </c>
      <c r="J508" s="166">
        <f ca="1">IFERROR(__xludf.DUMMYFUNCTION("IMPORTRANGE(""https://docs.google.com/spreadsheets/d/1IYY_tgx_IHuhSq3AJ5eI5OnqOPBNLWSHKh2a30DoXe8/edit?usp=sharing"",""กระบี่!J403"")"),0)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IFERROR(__xludf.DUMMYFUNCTION("IMPORTRANGE(""https://docs.google.com/spreadsheets/d/1IYY_tgx_IHuhSq3AJ5eI5OnqOPBNLWSHKh2a30DoXe8/edit?usp=sharing"",""กระบี่!I404"")"),0)</f>
        <v>0</v>
      </c>
      <c r="J509" s="166">
        <f ca="1">IFERROR(__xludf.DUMMYFUNCTION("IMPORTRANGE(""https://docs.google.com/spreadsheets/d/1IYY_tgx_IHuhSq3AJ5eI5OnqOPBNLWSHKh2a30DoXe8/edit?usp=sharing"",""กระบี่!J404"")"),0)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IFERROR(__xludf.DUMMYFUNCTION("IMPORTRANGE(""https://docs.google.com/spreadsheets/d/1IYY_tgx_IHuhSq3AJ5eI5OnqOPBNLWSHKh2a30DoXe8/edit?usp=sharing"",""กระบี่!I405"")"),0)</f>
        <v>0</v>
      </c>
      <c r="J510" s="204">
        <f ca="1">IFERROR(__xludf.DUMMYFUNCTION("IMPORTRANGE(""https://docs.google.com/spreadsheets/d/1IYY_tgx_IHuhSq3AJ5eI5OnqOPBNLWSHKh2a30DoXe8/edit?usp=sharing"",""กระบี่!J405"")"),0)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IFERROR(__xludf.DUMMYFUNCTION("IMPORTRANGE(""https://docs.google.com/spreadsheets/d/1IYY_tgx_IHuhSq3AJ5eI5OnqOPBNLWSHKh2a30DoXe8/edit?usp=sharing"",""กระบี่!I406"")"),0)</f>
        <v>0</v>
      </c>
      <c r="J511" s="204">
        <f ca="1">IFERROR(__xludf.DUMMYFUNCTION("IMPORTRANGE(""https://docs.google.com/spreadsheets/d/1IYY_tgx_IHuhSq3AJ5eI5OnqOPBNLWSHKh2a30DoXe8/edit?usp=sharing"",""กระบี่!J406"")"),0)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IFERROR(__xludf.DUMMYFUNCTION("IMPORTRANGE(""https://docs.google.com/spreadsheets/d/1IYY_tgx_IHuhSq3AJ5eI5OnqOPBNLWSHKh2a30DoXe8/edit?usp=sharing"",""กระบี่!I407"")"),0)</f>
        <v>0</v>
      </c>
      <c r="J512" s="204">
        <f ca="1">IFERROR(__xludf.DUMMYFUNCTION("IMPORTRANGE(""https://docs.google.com/spreadsheets/d/1IYY_tgx_IHuhSq3AJ5eI5OnqOPBNLWSHKh2a30DoXe8/edit?usp=sharing"",""กระบี่!J407"")"),0)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IFERROR(__xludf.DUMMYFUNCTION("IMPORTRANGE(""https://docs.google.com/spreadsheets/d/1IYY_tgx_IHuhSq3AJ5eI5OnqOPBNLWSHKh2a30DoXe8/edit?usp=sharing"",""กระบี่!I408"")"),0)</f>
        <v>0</v>
      </c>
      <c r="J513" s="204">
        <f ca="1">IFERROR(__xludf.DUMMYFUNCTION("IMPORTRANGE(""https://docs.google.com/spreadsheets/d/1IYY_tgx_IHuhSq3AJ5eI5OnqOPBNLWSHKh2a30DoXe8/edit?usp=sharing"",""กระบี่!J408"")"),0)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IFERROR(__xludf.DUMMYFUNCTION("IMPORTRANGE(""https://docs.google.com/spreadsheets/d/1IYY_tgx_IHuhSq3AJ5eI5OnqOPBNLWSHKh2a30DoXe8/edit?usp=sharing"",""กระบี่!I409"")"),0)</f>
        <v>0</v>
      </c>
      <c r="J514" s="204">
        <f ca="1">IFERROR(__xludf.DUMMYFUNCTION("IMPORTRANGE(""https://docs.google.com/spreadsheets/d/1IYY_tgx_IHuhSq3AJ5eI5OnqOPBNLWSHKh2a30DoXe8/edit?usp=sharing"",""กระบี่!J409"")"),0)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IFERROR(__xludf.DUMMYFUNCTION("IMPORTRANGE(""https://docs.google.com/spreadsheets/d/1IYY_tgx_IHuhSq3AJ5eI5OnqOPBNLWSHKh2a30DoXe8/edit?usp=sharing"",""กระบี่!I410"")"),0)</f>
        <v>0</v>
      </c>
      <c r="J515" s="204">
        <f ca="1">IFERROR(__xludf.DUMMYFUNCTION("IMPORTRANGE(""https://docs.google.com/spreadsheets/d/1IYY_tgx_IHuhSq3AJ5eI5OnqOPBNLWSHKh2a30DoXe8/edit?usp=sharing"",""กระบี่!J410"")"),0)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IFERROR(__xludf.DUMMYFUNCTION("IMPORTRANGE(""https://docs.google.com/spreadsheets/d/1IYY_tgx_IHuhSq3AJ5eI5OnqOPBNLWSHKh2a30DoXe8/edit?usp=sharing"",""กระบี่!I411"")"),0)</f>
        <v>0</v>
      </c>
      <c r="J516" s="273">
        <f ca="1">IFERROR(__xludf.DUMMYFUNCTION("IMPORTRANGE(""https://docs.google.com/spreadsheets/d/1IYY_tgx_IHuhSq3AJ5eI5OnqOPBNLWSHKh2a30DoXe8/edit?usp=sharing"",""กระบี่!J411"")"),0)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IFERROR(__xludf.DUMMYFUNCTION("IMPORTRANGE(""https://docs.google.com/spreadsheets/d/1IYY_tgx_IHuhSq3AJ5eI5OnqOPBNLWSHKh2a30DoXe8/edit?usp=sharing"",""กระบี่!I414"")"),0)</f>
        <v>0</v>
      </c>
      <c r="J519" s="194">
        <f ca="1">IFERROR(__xludf.DUMMYFUNCTION("IMPORTRANGE(""https://docs.google.com/spreadsheets/d/1IYY_tgx_IHuhSq3AJ5eI5OnqOPBNLWSHKh2a30DoXe8/edit?usp=sharing"",""กระบี่!J414"")"),0)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IFERROR(__xludf.DUMMYFUNCTION("IMPORTRANGE(""https://docs.google.com/spreadsheets/d/1IYY_tgx_IHuhSq3AJ5eI5OnqOPBNLWSHKh2a30DoXe8/edit?usp=sharing"",""กระบี่!I415"")"),0)</f>
        <v>0</v>
      </c>
      <c r="J520" s="194">
        <f ca="1">IFERROR(__xludf.DUMMYFUNCTION("IMPORTRANGE(""https://docs.google.com/spreadsheets/d/1IYY_tgx_IHuhSq3AJ5eI5OnqOPBNLWSHKh2a30DoXe8/edit?usp=sharing"",""กระบี่!J415"")"),0)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IFERROR(__xludf.DUMMYFUNCTION("IMPORTRANGE(""https://docs.google.com/spreadsheets/d/1IYY_tgx_IHuhSq3AJ5eI5OnqOPBNLWSHKh2a30DoXe8/edit?usp=sharing"",""กระบี่!I416"")"),0)</f>
        <v>0</v>
      </c>
      <c r="J521" s="194">
        <f ca="1">IFERROR(__xludf.DUMMYFUNCTION("IMPORTRANGE(""https://docs.google.com/spreadsheets/d/1IYY_tgx_IHuhSq3AJ5eI5OnqOPBNLWSHKh2a30DoXe8/edit?usp=sharing"",""กระบี่!J416"")"),0)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IFERROR(__xludf.DUMMYFUNCTION("IMPORTRANGE(""https://docs.google.com/spreadsheets/d/1IYY_tgx_IHuhSq3AJ5eI5OnqOPBNLWSHKh2a30DoXe8/edit?usp=sharing"",""กระบี่!I417"")"),0)</f>
        <v>0</v>
      </c>
      <c r="J522" s="194">
        <f ca="1">IFERROR(__xludf.DUMMYFUNCTION("IMPORTRANGE(""https://docs.google.com/spreadsheets/d/1IYY_tgx_IHuhSq3AJ5eI5OnqOPBNLWSHKh2a30DoXe8/edit?usp=sharing"",""กระบี่!J417"")"),0)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IFERROR(__xludf.DUMMYFUNCTION("IMPORTRANGE(""https://docs.google.com/spreadsheets/d/1IYY_tgx_IHuhSq3AJ5eI5OnqOPBNLWSHKh2a30DoXe8/edit?usp=sharing"",""กระบี่!I418"")"),0)</f>
        <v>0</v>
      </c>
      <c r="J523" s="194">
        <f ca="1">IFERROR(__xludf.DUMMYFUNCTION("IMPORTRANGE(""https://docs.google.com/spreadsheets/d/1IYY_tgx_IHuhSq3AJ5eI5OnqOPBNLWSHKh2a30DoXe8/edit?usp=sharing"",""กระบี่!J418"")"),288)</f>
        <v>288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IFERROR(__xludf.DUMMYFUNCTION("IMPORTRANGE(""https://docs.google.com/spreadsheets/d/1IYY_tgx_IHuhSq3AJ5eI5OnqOPBNLWSHKh2a30DoXe8/edit?usp=sharing"",""กระบี่!I419"")"),0)</f>
        <v>0</v>
      </c>
      <c r="J524" s="194">
        <f ca="1">IFERROR(__xludf.DUMMYFUNCTION("IMPORTRANGE(""https://docs.google.com/spreadsheets/d/1IYY_tgx_IHuhSq3AJ5eI5OnqOPBNLWSHKh2a30DoXe8/edit?usp=sharing"",""กระบี่!J419"")"),22)</f>
        <v>22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IFERROR(__xludf.DUMMYFUNCTION("IMPORTRANGE(""https://docs.google.com/spreadsheets/d/1IYY_tgx_IHuhSq3AJ5eI5OnqOPBNLWSHKh2a30DoXe8/edit?usp=sharing"",""กระบี่!J420"")"),225)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IFERROR(__xludf.DUMMYFUNCTION("IMPORTRANGE(""https://docs.google.com/spreadsheets/d/1IYY_tgx_IHuhSq3AJ5eI5OnqOPBNLWSHKh2a30DoXe8/edit?usp=sharing"",""กระบี่!J421"")"),18)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IFERROR(__xludf.DUMMYFUNCTION("IMPORTRANGE(""https://docs.google.com/spreadsheets/d/1IYY_tgx_IHuhSq3AJ5eI5OnqOPBNLWSHKh2a30DoXe8/edit?usp=sharing"",""กระบี่!I422"")"),0)</f>
        <v>0</v>
      </c>
      <c r="J527" s="204">
        <f ca="1">IFERROR(__xludf.DUMMYFUNCTION("IMPORTRANGE(""https://docs.google.com/spreadsheets/d/1IYY_tgx_IHuhSq3AJ5eI5OnqOPBNLWSHKh2a30DoXe8/edit?usp=sharing"",""กระบี่!J422"")"),0)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IFERROR(__xludf.DUMMYFUNCTION("IMPORTRANGE(""https://docs.google.com/spreadsheets/d/1IYY_tgx_IHuhSq3AJ5eI5OnqOPBNLWSHKh2a30DoXe8/edit?usp=sharing"",""กระบี่!I423"")"),0)</f>
        <v>0</v>
      </c>
      <c r="J528" s="204">
        <f ca="1">IFERROR(__xludf.DUMMYFUNCTION("IMPORTRANGE(""https://docs.google.com/spreadsheets/d/1IYY_tgx_IHuhSq3AJ5eI5OnqOPBNLWSHKh2a30DoXe8/edit?usp=sharing"",""กระบี่!J423"")"),0)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IFERROR(__xludf.DUMMYFUNCTION("IMPORTRANGE(""https://docs.google.com/spreadsheets/d/1IYY_tgx_IHuhSq3AJ5eI5OnqOPBNLWSHKh2a30DoXe8/edit?usp=sharing"",""กระบี่!I424"")"),0)</f>
        <v>0</v>
      </c>
      <c r="J529" s="204">
        <f ca="1">IFERROR(__xludf.DUMMYFUNCTION("IMPORTRANGE(""https://docs.google.com/spreadsheets/d/1IYY_tgx_IHuhSq3AJ5eI5OnqOPBNLWSHKh2a30DoXe8/edit?usp=sharing"",""กระบี่!J424"")"),0)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IFERROR(__xludf.DUMMYFUNCTION("IMPORTRANGE(""https://docs.google.com/spreadsheets/d/1IYY_tgx_IHuhSq3AJ5eI5OnqOPBNLWSHKh2a30DoXe8/edit?usp=sharing"",""กระบี่!I425"")"),0)</f>
        <v>0</v>
      </c>
      <c r="J530" s="204">
        <f ca="1">IFERROR(__xludf.DUMMYFUNCTION("IMPORTRANGE(""https://docs.google.com/spreadsheets/d/1IYY_tgx_IHuhSq3AJ5eI5OnqOPBNLWSHKh2a30DoXe8/edit?usp=sharing"",""กระบี่!J425"")"),0)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IFERROR(__xludf.DUMMYFUNCTION("IMPORTRANGE(""https://docs.google.com/spreadsheets/d/1IYY_tgx_IHuhSq3AJ5eI5OnqOPBNLWSHKh2a30DoXe8/edit?usp=sharing"",""กระบี่!I426"")"),0)</f>
        <v>0</v>
      </c>
      <c r="J531" s="204">
        <f ca="1">IFERROR(__xludf.DUMMYFUNCTION("IMPORTRANGE(""https://docs.google.com/spreadsheets/d/1IYY_tgx_IHuhSq3AJ5eI5OnqOPBNLWSHKh2a30DoXe8/edit?usp=sharing"",""กระบี่!J426"")"),225)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IFERROR(__xludf.DUMMYFUNCTION("IMPORTRANGE(""https://docs.google.com/spreadsheets/d/1IYY_tgx_IHuhSq3AJ5eI5OnqOPBNLWSHKh2a30DoXe8/edit?usp=sharing"",""กระบี่!J427"")"),18)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IFERROR(__xludf.DUMMYFUNCTION("IMPORTRANGE(""https://docs.google.com/spreadsheets/d/1IYY_tgx_IHuhSq3AJ5eI5OnqOPBNLWSHKh2a30DoXe8/edit?usp=sharing"",""กระบี่!L428"")"),34340)</f>
        <v>34340</v>
      </c>
      <c r="M533" s="418"/>
      <c r="N533" s="418">
        <f ca="1">IFERROR(__xludf.DUMMYFUNCTION("IMPORTRANGE(""https://docs.google.com/spreadsheets/d/1IYY_tgx_IHuhSq3AJ5eI5OnqOPBNLWSHKh2a30DoXe8/edit?usp=sharing"",""กระบี่!M428"")"),34340)</f>
        <v>34340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IFERROR(__xludf.DUMMYFUNCTION("IMPORTRANGE(""https://docs.google.com/spreadsheets/d/1IYY_tgx_IHuhSq3AJ5eI5OnqOPBNLWSHKh2a30DoXe8/edit?usp=sharing"",""กระบี่!L429"")"),0)</f>
        <v>0</v>
      </c>
      <c r="M534" s="168"/>
      <c r="N534" s="175">
        <f ca="1">IFERROR(__xludf.DUMMYFUNCTION("IMPORTRANGE(""https://docs.google.com/spreadsheets/d/1IYY_tgx_IHuhSq3AJ5eI5OnqOPBNLWSHKh2a30DoXe8/edit?usp=sharing"",""กระบี่!M429"")"),0)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IFERROR(__xludf.DUMMYFUNCTION("IMPORTRANGE(""https://docs.google.com/spreadsheets/d/1IYY_tgx_IHuhSq3AJ5eI5OnqOPBNLWSHKh2a30DoXe8/edit?usp=sharing"",""กระบี่!L430"")"),34340)</f>
        <v>34340</v>
      </c>
      <c r="M535" s="169"/>
      <c r="N535" s="175">
        <f ca="1">IFERROR(__xludf.DUMMYFUNCTION("IMPORTRANGE(""https://docs.google.com/spreadsheets/d/1IYY_tgx_IHuhSq3AJ5eI5OnqOPBNLWSHKh2a30DoXe8/edit?usp=sharing"",""กระบี่!M430"")"),34340)</f>
        <v>34340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IFERROR(__xludf.DUMMYFUNCTION("IMPORTRANGE(""https://docs.google.com/spreadsheets/d/1IYY_tgx_IHuhSq3AJ5eI5OnqOPBNLWSHKh2a30DoXe8/edit?usp=sharing"",""กระบี่!L431"")"),0)</f>
        <v>0</v>
      </c>
      <c r="M536" s="175"/>
      <c r="N536" s="175">
        <f ca="1">IFERROR(__xludf.DUMMYFUNCTION("IMPORTRANGE(""https://docs.google.com/spreadsheets/d/1IYY_tgx_IHuhSq3AJ5eI5OnqOPBNLWSHKh2a30DoXe8/edit?usp=sharing"",""กระบี่!M431"")"),0)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IFERROR(__xludf.DUMMYFUNCTION("IMPORTRANGE(""https://docs.google.com/spreadsheets/d/1IYY_tgx_IHuhSq3AJ5eI5OnqOPBNLWSHKh2a30DoXe8/edit?usp=sharing"",""กระบี่!L432"")"),34340)</f>
        <v>34340</v>
      </c>
      <c r="M537" s="175"/>
      <c r="N537" s="175">
        <f ca="1">IFERROR(__xludf.DUMMYFUNCTION("IMPORTRANGE(""https://docs.google.com/spreadsheets/d/1IYY_tgx_IHuhSq3AJ5eI5OnqOPBNLWSHKh2a30DoXe8/edit?usp=sharing"",""กระบี่!M432"")"),34340)</f>
        <v>34340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IFERROR(__xludf.DUMMYFUNCTION("IMPORTRANGE(""https://docs.google.com/spreadsheets/d/1IYY_tgx_IHuhSq3AJ5eI5OnqOPBNLWSHKh2a30DoXe8/edit?usp=sharing"",""กระบี่!M433"")"),18740)</f>
        <v>18740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IFERROR(__xludf.DUMMYFUNCTION("IMPORTRANGE(""https://docs.google.com/spreadsheets/d/1IYY_tgx_IHuhSq3AJ5eI5OnqOPBNLWSHKh2a30DoXe8/edit?usp=sharing"",""กระบี่!M436"")"),15600)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IFERROR(__xludf.DUMMYFUNCTION("IMPORTRANGE(""https://docs.google.com/spreadsheets/d/1IYY_tgx_IHuhSq3AJ5eI5OnqOPBNLWSHKh2a30DoXe8/edit?usp=sharing"",""กระบี่!J438"")"),0)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IFERROR(__xludf.DUMMYFUNCTION("IMPORTRANGE(""https://docs.google.com/spreadsheets/d/1IYY_tgx_IHuhSq3AJ5eI5OnqOPBNLWSHKh2a30DoXe8/edit?usp=sharing"",""กระบี่!J439"")"),1)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IFERROR(__xludf.DUMMYFUNCTION("IMPORTRANGE(""https://docs.google.com/spreadsheets/d/1IYY_tgx_IHuhSq3AJ5eI5OnqOPBNLWSHKh2a30DoXe8/edit?usp=sharing"",""กระบี่!J440"")"),1)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IFERROR(__xludf.DUMMYFUNCTION("IMPORTRANGE(""https://docs.google.com/spreadsheets/d/1IYY_tgx_IHuhSq3AJ5eI5OnqOPBNLWSHKh2a30DoXe8/edit?usp=sharing"",""กระบี่!J441"")"),1)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IFERROR(__xludf.DUMMYFUNCTION("IMPORTRANGE(""https://docs.google.com/spreadsheets/d/1IYY_tgx_IHuhSq3AJ5eI5OnqOPBNLWSHKh2a30DoXe8/edit?usp=sharing"",""กระบี่!I442"")"),22)</f>
        <v>22</v>
      </c>
      <c r="J547" s="195">
        <f ca="1">IFERROR(__xludf.DUMMYFUNCTION("IMPORTRANGE(""https://docs.google.com/spreadsheets/d/1IYY_tgx_IHuhSq3AJ5eI5OnqOPBNLWSHKh2a30DoXe8/edit?usp=sharing"",""กระบี่!J442"")"),22)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IFERROR(__xludf.DUMMYFUNCTION("IMPORTRANGE(""https://docs.google.com/spreadsheets/d/1IYY_tgx_IHuhSq3AJ5eI5OnqOPBNLWSHKh2a30DoXe8/edit?usp=sharing"",""กระบี่!J166"")"),0)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IFERROR(__xludf.DUMMYFUNCTION("IMPORTRANGE(""https://docs.google.com/spreadsheets/d/1IYY_tgx_IHuhSq3AJ5eI5OnqOPBNLWSHKh2a30DoXe8/edit?usp=sharing"",""กระบี่!J444"")"),0)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IFERROR(__xludf.DUMMYFUNCTION("IMPORTRANGE(""https://docs.google.com/spreadsheets/d/1IYY_tgx_IHuhSq3AJ5eI5OnqOPBNLWSHKh2a30DoXe8/edit?usp=sharing"",""กระบี่!L447"")"),0)</f>
        <v>0</v>
      </c>
      <c r="M552" s="168"/>
      <c r="N552" s="175">
        <f ca="1">IFERROR(__xludf.DUMMYFUNCTION("IMPORTRANGE(""https://docs.google.com/spreadsheets/d/1IYY_tgx_IHuhSq3AJ5eI5OnqOPBNLWSHKh2a30DoXe8/edit?usp=sharing"",""กระบี่!M447"")"),0)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5">
        <f ca="1">IFERROR(__xludf.DUMMYFUNCTION("IMPORTRANGE(""https://docs.google.com/spreadsheets/d/1IYY_tgx_IHuhSq3AJ5eI5OnqOPBNLWSHKh2a30DoXe8/edit?usp=sharing"",""กระบี่!M448"")"),0)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IFERROR(__xludf.DUMMYFUNCTION("IMPORTRANGE(""https://docs.google.com/spreadsheets/d/1IYY_tgx_IHuhSq3AJ5eI5OnqOPBNLWSHKh2a30DoXe8/edit?usp=sharing"",""กระบี่!L449"")"),0)</f>
        <v>0</v>
      </c>
      <c r="M554" s="175"/>
      <c r="N554" s="175">
        <f ca="1">IFERROR(__xludf.DUMMYFUNCTION("IMPORTRANGE(""https://docs.google.com/spreadsheets/d/1IYY_tgx_IHuhSq3AJ5eI5OnqOPBNLWSHKh2a30DoXe8/edit?usp=sharing"",""กระบี่!M449"")"),0)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IFERROR(__xludf.DUMMYFUNCTION("IMPORTRANGE(""https://docs.google.com/spreadsheets/d/1IYY_tgx_IHuhSq3AJ5eI5OnqOPBNLWSHKh2a30DoXe8/edit?usp=sharing"",""กระบี่!L450"")"),0)</f>
        <v>0</v>
      </c>
      <c r="M555" s="175"/>
      <c r="N555" s="175">
        <f ca="1">IFERROR(__xludf.DUMMYFUNCTION("IMPORTRANGE(""https://docs.google.com/spreadsheets/d/1IYY_tgx_IHuhSq3AJ5eI5OnqOPBNLWSHKh2a30DoXe8/edit?usp=sharing"",""กระบี่!M450"")"),0)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IFERROR(__xludf.DUMMYFUNCTION("IMPORTRANGE(""https://docs.google.com/spreadsheets/d/1IYY_tgx_IHuhSq3AJ5eI5OnqOPBNLWSHKh2a30DoXe8/edit?usp=sharing"",""กระบี่!M451"")"),0)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IFERROR(__xludf.DUMMYFUNCTION("IMPORTRANGE(""https://docs.google.com/spreadsheets/d/1IYY_tgx_IHuhSq3AJ5eI5OnqOPBNLWSHKh2a30DoXe8/edit?usp=sharing"",""กระบี่!M452"")"),0)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IFERROR(__xludf.DUMMYFUNCTION("IMPORTRANGE(""https://docs.google.com/spreadsheets/d/1IYY_tgx_IHuhSq3AJ5eI5OnqOPBNLWSHKh2a30DoXe8/edit?usp=sharing"",""กระบี่!M453"")"),0)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IFERROR(__xludf.DUMMYFUNCTION("IMPORTRANGE(""https://docs.google.com/spreadsheets/d/1IYY_tgx_IHuhSq3AJ5eI5OnqOPBNLWSHKh2a30DoXe8/edit?usp=sharing"",""กระบี่!M454"")"),0)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IFERROR(__xludf.DUMMYFUNCTION("IMPORTRANGE(""https://docs.google.com/spreadsheets/d/1IYY_tgx_IHuhSq3AJ5eI5OnqOPBNLWSHKh2a30DoXe8/edit?usp=sharing"",""กระบี่!I455"")"),0)</f>
        <v>0</v>
      </c>
      <c r="J560" s="166">
        <f ca="1">IFERROR(__xludf.DUMMYFUNCTION("IMPORTRANGE(""https://docs.google.com/spreadsheets/d/1IYY_tgx_IHuhSq3AJ5eI5OnqOPBNLWSHKh2a30DoXe8/edit?usp=sharing"",""กระบี่!J455"")"),0)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IFERROR(__xludf.DUMMYFUNCTION("IMPORTRANGE(""https://docs.google.com/spreadsheets/d/1IYY_tgx_IHuhSq3AJ5eI5OnqOPBNLWSHKh2a30DoXe8/edit?usp=sharing"",""กระบี่!I456"")"),0)</f>
        <v>0</v>
      </c>
      <c r="J561" s="210">
        <f ca="1">IFERROR(__xludf.DUMMYFUNCTION("IMPORTRANGE(""https://docs.google.com/spreadsheets/d/1IYY_tgx_IHuhSq3AJ5eI5OnqOPBNLWSHKh2a30DoXe8/edit?usp=sharing"",""กระบี่!J456"")"),0)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IFERROR(__xludf.DUMMYFUNCTION("IMPORTRANGE(""https://docs.google.com/spreadsheets/d/1IYY_tgx_IHuhSq3AJ5eI5OnqOPBNLWSHKh2a30DoXe8/edit?usp=sharing"",""กระบี่!J459"")"),2678)</f>
        <v>2678</v>
      </c>
      <c r="K564" s="378">
        <f ca="1">IF(I564&gt;0,J564*100/I564,0)</f>
        <v>243.45454545454547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IFERROR(__xludf.DUMMYFUNCTION("IMPORTRANGE(""https://docs.google.com/spreadsheets/d/1IYY_tgx_IHuhSq3AJ5eI5OnqOPBNLWSHKh2a30DoXe8/edit?usp=sharing"",""กระบี่!L460"")"),0)</f>
        <v>0</v>
      </c>
      <c r="M565" s="168"/>
      <c r="N565" s="175">
        <f ca="1">IFERROR(__xludf.DUMMYFUNCTION("IMPORTRANGE(""https://docs.google.com/spreadsheets/d/1IYY_tgx_IHuhSq3AJ5eI5OnqOPBNLWSHKh2a30DoXe8/edit?usp=sharing"",""กระบี่!M460"")"),0)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5">
        <f ca="1">IFERROR(__xludf.DUMMYFUNCTION("IMPORTRANGE(""https://docs.google.com/spreadsheets/d/1IYY_tgx_IHuhSq3AJ5eI5OnqOPBNLWSHKh2a30DoXe8/edit?usp=sharing"",""กระบี่!M461"")"),33000)</f>
        <v>33000</v>
      </c>
      <c r="O566" s="175">
        <f t="shared" ca="1" si="122"/>
        <v>26.872964169381106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IFERROR(__xludf.DUMMYFUNCTION("IMPORTRANGE(""https://docs.google.com/spreadsheets/d/1IYY_tgx_IHuhSq3AJ5eI5OnqOPBNLWSHKh2a30DoXe8/edit?usp=sharing"",""กระบี่!L462"")"),0)</f>
        <v>0</v>
      </c>
      <c r="M567" s="175"/>
      <c r="N567" s="175">
        <f ca="1">IFERROR(__xludf.DUMMYFUNCTION("IMPORTRANGE(""https://docs.google.com/spreadsheets/d/1IYY_tgx_IHuhSq3AJ5eI5OnqOPBNLWSHKh2a30DoXe8/edit?usp=sharing"",""กระบี่!M462"")"),0)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IFERROR(__xludf.DUMMYFUNCTION("IMPORTRANGE(""https://docs.google.com/spreadsheets/d/1IYY_tgx_IHuhSq3AJ5eI5OnqOPBNLWSHKh2a30DoXe8/edit?usp=sharing"",""กระบี่!L463"")"),122800)</f>
        <v>122800</v>
      </c>
      <c r="M568" s="175"/>
      <c r="N568" s="175">
        <f ca="1">IFERROR(__xludf.DUMMYFUNCTION("IMPORTRANGE(""https://docs.google.com/spreadsheets/d/1IYY_tgx_IHuhSq3AJ5eI5OnqOPBNLWSHKh2a30DoXe8/edit?usp=sharing"",""กระบี่!M463"")"),33000)</f>
        <v>33000</v>
      </c>
      <c r="O568" s="175">
        <f t="shared" ca="1" si="122"/>
        <v>26.872964169381106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IFERROR(__xludf.DUMMYFUNCTION("IMPORTRANGE(""https://docs.google.com/spreadsheets/d/1IYY_tgx_IHuhSq3AJ5eI5OnqOPBNLWSHKh2a30DoXe8/edit?usp=sharing"",""กระบี่!M464"")"),0)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IFERROR(__xludf.DUMMYFUNCTION("IMPORTRANGE(""https://docs.google.com/spreadsheets/d/1IYY_tgx_IHuhSq3AJ5eI5OnqOPBNLWSHKh2a30DoXe8/edit?usp=sharing"",""กระบี่!M465"")"),0)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IFERROR(__xludf.DUMMYFUNCTION("IMPORTRANGE(""https://docs.google.com/spreadsheets/d/1IYY_tgx_IHuhSq3AJ5eI5OnqOPBNLWSHKh2a30DoXe8/edit?usp=sharing"",""กระบี่!J468"")"),2678)</f>
        <v>2678</v>
      </c>
      <c r="K573" s="208">
        <f ca="1">IF(I573&gt;0,J573*100/I573,0)</f>
        <v>243.45454545454547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IFERROR(__xludf.DUMMYFUNCTION("IMPORTRANGE(""https://docs.google.com/spreadsheets/d/1IYY_tgx_IHuhSq3AJ5eI5OnqOPBNLWSHKh2a30DoXe8/edit?usp=sharing"",""กระบี่!I470"")"),0)</f>
        <v>0</v>
      </c>
      <c r="J575" s="204">
        <f ca="1">IFERROR(__xludf.DUMMYFUNCTION("IMPORTRANGE(""https://docs.google.com/spreadsheets/d/1IYY_tgx_IHuhSq3AJ5eI5OnqOPBNLWSHKh2a30DoXe8/edit?usp=sharing"",""กระบี่!J470"")"),5)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IFERROR(__xludf.DUMMYFUNCTION("IMPORTRANGE(""https://docs.google.com/spreadsheets/d/1IYY_tgx_IHuhSq3AJ5eI5OnqOPBNLWSHKh2a30DoXe8/edit?usp=sharing"",""กระบี่!I471"")"),0)</f>
        <v>0</v>
      </c>
      <c r="J576" s="204">
        <f ca="1">IFERROR(__xludf.DUMMYFUNCTION("IMPORTRANGE(""https://docs.google.com/spreadsheets/d/1IYY_tgx_IHuhSq3AJ5eI5OnqOPBNLWSHKh2a30DoXe8/edit?usp=sharing"",""กระบี่!J471"")"),108)</f>
        <v>108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IFERROR(__xludf.DUMMYFUNCTION("IMPORTRANGE(""https://docs.google.com/spreadsheets/d/1IYY_tgx_IHuhSq3AJ5eI5OnqOPBNLWSHKh2a30DoXe8/edit?usp=sharing"",""กระบี่!I472"")"),0)</f>
        <v>0</v>
      </c>
      <c r="J577" s="195">
        <f ca="1">IFERROR(__xludf.DUMMYFUNCTION("IMPORTRANGE(""https://docs.google.com/spreadsheets/d/1IYY_tgx_IHuhSq3AJ5eI5OnqOPBNLWSHKh2a30DoXe8/edit?usp=sharing"",""กระบี่!J472"")"),2570)</f>
        <v>2570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IFERROR(__xludf.DUMMYFUNCTION("IMPORTRANGE(""https://docs.google.com/spreadsheets/d/1IYY_tgx_IHuhSq3AJ5eI5OnqOPBNLWSHKh2a30DoXe8/edit?usp=sharing"",""กระบี่!I473"")"),0)</f>
        <v>0</v>
      </c>
      <c r="J578" s="204">
        <f ca="1">IFERROR(__xludf.DUMMYFUNCTION("IMPORTRANGE(""https://docs.google.com/spreadsheets/d/1IYY_tgx_IHuhSq3AJ5eI5OnqOPBNLWSHKh2a30DoXe8/edit?usp=sharing"",""กระบี่!J473"")"),0)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IFERROR(__xludf.DUMMYFUNCTION("IMPORTRANGE(""https://docs.google.com/spreadsheets/d/1IYY_tgx_IHuhSq3AJ5eI5OnqOPBNLWSHKh2a30DoXe8/edit?usp=sharing"",""กระบี่!I474"")"),0)</f>
        <v>0</v>
      </c>
      <c r="J579" s="204">
        <f ca="1">IFERROR(__xludf.DUMMYFUNCTION("IMPORTRANGE(""https://docs.google.com/spreadsheets/d/1IYY_tgx_IHuhSq3AJ5eI5OnqOPBNLWSHKh2a30DoXe8/edit?usp=sharing"",""กระบี่!J474"")"),0)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IFERROR(__xludf.DUMMYFUNCTION("IMPORTRANGE(""https://docs.google.com/spreadsheets/d/1IYY_tgx_IHuhSq3AJ5eI5OnqOPBNLWSHKh2a30DoXe8/edit?usp=sharing"",""กระบี่!L475"")"),49000)</f>
        <v>49000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IFERROR(__xludf.DUMMYFUNCTION("IMPORTRANGE(""https://docs.google.com/spreadsheets/d/1IYY_tgx_IHuhSq3AJ5eI5OnqOPBNLWSHKh2a30DoXe8/edit?usp=sharing"",""กระบี่!L476"")"),0)</f>
        <v>0</v>
      </c>
      <c r="M581" s="168"/>
      <c r="N581" s="175">
        <f ca="1">IFERROR(__xludf.DUMMYFUNCTION("IMPORTRANGE(""https://docs.google.com/spreadsheets/d/1IYY_tgx_IHuhSq3AJ5eI5OnqOPBNLWSHKh2a30DoXe8/edit?usp=sharing"",""กระบี่!M476"")"),0)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IFERROR(__xludf.DUMMYFUNCTION("IMPORTRANGE(""https://docs.google.com/spreadsheets/d/1IYY_tgx_IHuhSq3AJ5eI5OnqOPBNLWSHKh2a30DoXe8/edit?usp=sharing"",""กระบี่!L477"")"),49000)</f>
        <v>49000</v>
      </c>
      <c r="M582" s="169"/>
      <c r="N582" s="175">
        <f ca="1">IFERROR(__xludf.DUMMYFUNCTION("IMPORTRANGE(""https://docs.google.com/spreadsheets/d/1IYY_tgx_IHuhSq3AJ5eI5OnqOPBNLWSHKh2a30DoXe8/edit?usp=sharing"",""กระบี่!M477"")"),0)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IFERROR(__xludf.DUMMYFUNCTION("IMPORTRANGE(""https://docs.google.com/spreadsheets/d/1IYY_tgx_IHuhSq3AJ5eI5OnqOPBNLWSHKh2a30DoXe8/edit?usp=sharing"",""กระบี่!L478"")"),0)</f>
        <v>0</v>
      </c>
      <c r="M583" s="175"/>
      <c r="N583" s="175">
        <f ca="1">IFERROR(__xludf.DUMMYFUNCTION("IMPORTRANGE(""https://docs.google.com/spreadsheets/d/1IYY_tgx_IHuhSq3AJ5eI5OnqOPBNLWSHKh2a30DoXe8/edit?usp=sharing"",""กระบี่!M478"")"),0)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IFERROR(__xludf.DUMMYFUNCTION("IMPORTRANGE(""https://docs.google.com/spreadsheets/d/1IYY_tgx_IHuhSq3AJ5eI5OnqOPBNLWSHKh2a30DoXe8/edit?usp=sharing"",""กระบี่!L479"")"),49000)</f>
        <v>49000</v>
      </c>
      <c r="M584" s="175"/>
      <c r="N584" s="175">
        <f ca="1">IFERROR(__xludf.DUMMYFUNCTION("IMPORTRANGE(""https://docs.google.com/spreadsheets/d/1IYY_tgx_IHuhSq3AJ5eI5OnqOPBNLWSHKh2a30DoXe8/edit?usp=sharing"",""กระบี่!M479"")"),0)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IFERROR(__xludf.DUMMYFUNCTION("IMPORTRANGE(""https://docs.google.com/spreadsheets/d/1IYY_tgx_IHuhSq3AJ5eI5OnqOPBNLWSHKh2a30DoXe8/edit?usp=sharing"",""กระบี่!M480"")"),0)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IFERROR(__xludf.DUMMYFUNCTION("IMPORTRANGE(""https://docs.google.com/spreadsheets/d/1IYY_tgx_IHuhSq3AJ5eI5OnqOPBNLWSHKh2a30DoXe8/edit?usp=sharing"",""กระบี่!M481"")"),0)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IFERROR(__xludf.DUMMYFUNCTION("IMPORTRANGE(""https://docs.google.com/spreadsheets/d/1IYY_tgx_IHuhSq3AJ5eI5OnqOPBNLWSHKh2a30DoXe8/edit?usp=sharing"",""กระบี่!M482"")"),0)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IFERROR(__xludf.DUMMYFUNCTION("IMPORTRANGE(""https://docs.google.com/spreadsheets/d/1IYY_tgx_IHuhSq3AJ5eI5OnqOPBNLWSHKh2a30DoXe8/edit?usp=sharing"",""กระบี่!M483"")"),0)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4">
        <f ca="1">IFERROR(__xludf.DUMMYFUNCTION("IMPORTRANGE(""https://docs.google.com/spreadsheets/d/1IYY_tgx_IHuhSq3AJ5eI5OnqOPBNLWSHKh2a30DoXe8/edit?usp=sharing"",""กระบี่!J484"")"),0)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4">
        <f ca="1">IFERROR(__xludf.DUMMYFUNCTION("IMPORTRANGE(""https://docs.google.com/spreadsheets/d/1IYY_tgx_IHuhSq3AJ5eI5OnqOPBNLWSHKh2a30DoXe8/edit?usp=sharing"",""กระบี่!J485"")"),0)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4">
        <f ca="1">IFERROR(__xludf.DUMMYFUNCTION("IMPORTRANGE(""https://docs.google.com/spreadsheets/d/1IYY_tgx_IHuhSq3AJ5eI5OnqOPBNLWSHKh2a30DoXe8/edit?usp=sharing"",""กระบี่!J486"")"),0)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4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4">
        <f ca="1">IFERROR(__xludf.DUMMYFUNCTION("IMPORTRANGE(""https://docs.google.com/spreadsheets/d/1IYY_tgx_IHuhSq3AJ5eI5OnqOPBNLWSHKh2a30DoXe8/edit?usp=sharing"",""กระบี่!J488"")"),0)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4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4">
        <f ca="1">IFERROR(__xludf.DUMMYFUNCTION("IMPORTRANGE(""https://docs.google.com/spreadsheets/d/1IYY_tgx_IHuhSq3AJ5eI5OnqOPBNLWSHKh2a30DoXe8/edit?usp=sharing"",""กระบี่!J490"")"),0)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IFERROR(__xludf.DUMMYFUNCTION("IMPORTRANGE(""https://docs.google.com/spreadsheets/d/1IYY_tgx_IHuhSq3AJ5eI5OnqOPBNLWSHKh2a30DoXe8/edit?usp=sharing"",""กระบี่!I491"")"),0)</f>
        <v>0</v>
      </c>
      <c r="J596" s="247">
        <f ca="1">IFERROR(__xludf.DUMMYFUNCTION("IMPORTRANGE(""https://docs.google.com/spreadsheets/d/1IYY_tgx_IHuhSq3AJ5eI5OnqOPBNLWSHKh2a30DoXe8/edit?usp=sharing"",""กระบี่!J491"")"),0)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4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IFERROR(__xludf.DUMMYFUNCTION("IMPORTRANGE(""https://docs.google.com/spreadsheets/d/1IYY_tgx_IHuhSq3AJ5eI5OnqOPBNLWSHKh2a30DoXe8/edit?usp=sharing"",""กระบี่!L492"")"),26140)</f>
        <v>26140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9.946442234123948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IFERROR(__xludf.DUMMYFUNCTION("IMPORTRANGE(""https://docs.google.com/spreadsheets/d/1IYY_tgx_IHuhSq3AJ5eI5OnqOPBNLWSHKh2a30DoXe8/edit?usp=sharing"",""กระบี่!L493"")"),0)</f>
        <v>0</v>
      </c>
      <c r="M598" s="168"/>
      <c r="N598" s="175">
        <f ca="1">IFERROR(__xludf.DUMMYFUNCTION("IMPORTRANGE(""https://docs.google.com/spreadsheets/d/1IYY_tgx_IHuhSq3AJ5eI5OnqOPBNLWSHKh2a30DoXe8/edit?usp=sharing"",""กระบี่!M493"")"),0)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IFERROR(__xludf.DUMMYFUNCTION("IMPORTRANGE(""https://docs.google.com/spreadsheets/d/1IYY_tgx_IHuhSq3AJ5eI5OnqOPBNLWSHKh2a30DoXe8/edit?usp=sharing"",""กระบี่!L494"")"),26140)</f>
        <v>26140</v>
      </c>
      <c r="M599" s="169"/>
      <c r="N599" s="175">
        <f ca="1">IFERROR(__xludf.DUMMYFUNCTION("IMPORTRANGE(""https://docs.google.com/spreadsheets/d/1IYY_tgx_IHuhSq3AJ5eI5OnqOPBNLWSHKh2a30DoXe8/edit?usp=sharing"",""กระบี่!M494"")"),2600)</f>
        <v>2600</v>
      </c>
      <c r="O599" s="175">
        <f t="shared" ca="1" si="126"/>
        <v>9.946442234123948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IFERROR(__xludf.DUMMYFUNCTION("IMPORTRANGE(""https://docs.google.com/spreadsheets/d/1IYY_tgx_IHuhSq3AJ5eI5OnqOPBNLWSHKh2a30DoXe8/edit?usp=sharing"",""กระบี่!L495"")"),0)</f>
        <v>0</v>
      </c>
      <c r="M600" s="175"/>
      <c r="N600" s="175">
        <f ca="1">IFERROR(__xludf.DUMMYFUNCTION("IMPORTRANGE(""https://docs.google.com/spreadsheets/d/1IYY_tgx_IHuhSq3AJ5eI5OnqOPBNLWSHKh2a30DoXe8/edit?usp=sharing"",""กระบี่!M495"")"),0)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IFERROR(__xludf.DUMMYFUNCTION("IMPORTRANGE(""https://docs.google.com/spreadsheets/d/1IYY_tgx_IHuhSq3AJ5eI5OnqOPBNLWSHKh2a30DoXe8/edit?usp=sharing"",""กระบี่!L496"")"),26140)</f>
        <v>26140</v>
      </c>
      <c r="M601" s="175"/>
      <c r="N601" s="175">
        <f ca="1">IFERROR(__xludf.DUMMYFUNCTION("IMPORTRANGE(""https://docs.google.com/spreadsheets/d/1IYY_tgx_IHuhSq3AJ5eI5OnqOPBNLWSHKh2a30DoXe8/edit?usp=sharing"",""กระบี่!M496"")"),2600)</f>
        <v>2600</v>
      </c>
      <c r="O601" s="175">
        <f t="shared" ca="1" si="126"/>
        <v>9.946442234123948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IFERROR(__xludf.DUMMYFUNCTION("IMPORTRANGE(""https://docs.google.com/spreadsheets/d/1IYY_tgx_IHuhSq3AJ5eI5OnqOPBNLWSHKh2a30DoXe8/edit?usp=sharing"",""กระบี่!M497"")"),0)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IFERROR(__xludf.DUMMYFUNCTION("IMPORTRANGE(""https://docs.google.com/spreadsheets/d/1IYY_tgx_IHuhSq3AJ5eI5OnqOPBNLWSHKh2a30DoXe8/edit?usp=sharing"",""กระบี่!M498"")"),0)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IFERROR(__xludf.DUMMYFUNCTION("IMPORTRANGE(""https://docs.google.com/spreadsheets/d/1IYY_tgx_IHuhSq3AJ5eI5OnqOPBNLWSHKh2a30DoXe8/edit?usp=sharing"",""กระบี่!J502"")"),0)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IFERROR(__xludf.DUMMYFUNCTION("IMPORTRANGE(""https://docs.google.com/spreadsheets/d/1IYY_tgx_IHuhSq3AJ5eI5OnqOPBNLWSHKh2a30DoXe8/edit?usp=sharing"",""กระบี่!J503"")"),1)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IFERROR(__xludf.DUMMYFUNCTION("IMPORTRANGE(""https://docs.google.com/spreadsheets/d/1IYY_tgx_IHuhSq3AJ5eI5OnqOPBNLWSHKh2a30DoXe8/edit?usp=sharing"",""กระบี่!J166"")"),0)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IFERROR(__xludf.DUMMYFUNCTION("IMPORTRANGE(""https://docs.google.com/spreadsheets/d/1IYY_tgx_IHuhSq3AJ5eI5OnqOPBNLWSHKh2a30DoXe8/edit?usp=sharing"",""กระบี่!J166"")"),0)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IFERROR(__xludf.DUMMYFUNCTION("IMPORTRANGE(""https://docs.google.com/spreadsheets/d/1IYY_tgx_IHuhSq3AJ5eI5OnqOPBNLWSHKh2a30DoXe8/edit?usp=sharing"",""กระบี่!I506"")"),428)</f>
        <v>428</v>
      </c>
      <c r="J611" s="166">
        <f ca="1">IFERROR(__xludf.DUMMYFUNCTION("IMPORTRANGE(""https://docs.google.com/spreadsheets/d/1IYY_tgx_IHuhSq3AJ5eI5OnqOPBNLWSHKh2a30DoXe8/edit?usp=sharing"",""กระบี่!J506"")"),0)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IFERROR(__xludf.DUMMYFUNCTION("IMPORTRANGE(""https://docs.google.com/spreadsheets/d/1IYY_tgx_IHuhSq3AJ5eI5OnqOPBNLWSHKh2a30DoXe8/edit?usp=sharing"",""กระบี่!I507"")"),0)</f>
        <v>0</v>
      </c>
      <c r="J612" s="204">
        <f ca="1">IFERROR(__xludf.DUMMYFUNCTION("IMPORTRANGE(""https://docs.google.com/spreadsheets/d/1IYY_tgx_IHuhSq3AJ5eI5OnqOPBNLWSHKh2a30DoXe8/edit?usp=sharing"",""กระบี่!J507"")"),0)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IFERROR(__xludf.DUMMYFUNCTION("IMPORTRANGE(""https://docs.google.com/spreadsheets/d/1IYY_tgx_IHuhSq3AJ5eI5OnqOPBNLWSHKh2a30DoXe8/edit?usp=sharing"",""กระบี่!I508"")"),0)</f>
        <v>0</v>
      </c>
      <c r="J613" s="204">
        <f ca="1">IFERROR(__xludf.DUMMYFUNCTION("IMPORTRANGE(""https://docs.google.com/spreadsheets/d/1IYY_tgx_IHuhSq3AJ5eI5OnqOPBNLWSHKh2a30DoXe8/edit?usp=sharing"",""กระบี่!J508"")"),0)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IFERROR(__xludf.DUMMYFUNCTION("IMPORTRANGE(""https://docs.google.com/spreadsheets/d/1IYY_tgx_IHuhSq3AJ5eI5OnqOPBNLWSHKh2a30DoXe8/edit?usp=sharing"",""กระบี่!I509"")"),0)</f>
        <v>0</v>
      </c>
      <c r="J614" s="204">
        <f ca="1">IFERROR(__xludf.DUMMYFUNCTION("IMPORTRANGE(""https://docs.google.com/spreadsheets/d/1IYY_tgx_IHuhSq3AJ5eI5OnqOPBNLWSHKh2a30DoXe8/edit?usp=sharing"",""กระบี่!J509"")"),0)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IFERROR(__xludf.DUMMYFUNCTION("IMPORTRANGE(""https://docs.google.com/spreadsheets/d/1IYY_tgx_IHuhSq3AJ5eI5OnqOPBNLWSHKh2a30DoXe8/edit?usp=sharing"",""กระบี่!I510"")"),0)</f>
        <v>0</v>
      </c>
      <c r="J615" s="204">
        <f ca="1">IFERROR(__xludf.DUMMYFUNCTION("IMPORTRANGE(""https://docs.google.com/spreadsheets/d/1IYY_tgx_IHuhSq3AJ5eI5OnqOPBNLWSHKh2a30DoXe8/edit?usp=sharing"",""กระบี่!J510"")"),0)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IFERROR(__xludf.DUMMYFUNCTION("IMPORTRANGE(""https://docs.google.com/spreadsheets/d/1IYY_tgx_IHuhSq3AJ5eI5OnqOPBNLWSHKh2a30DoXe8/edit?usp=sharing"",""กระบี่!I511"")"),0)</f>
        <v>0</v>
      </c>
      <c r="J616" s="204">
        <f ca="1">IFERROR(__xludf.DUMMYFUNCTION("IMPORTRANGE(""https://docs.google.com/spreadsheets/d/1IYY_tgx_IHuhSq3AJ5eI5OnqOPBNLWSHKh2a30DoXe8/edit?usp=sharing"",""กระบี่!J511"")"),0)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IFERROR(__xludf.DUMMYFUNCTION("IMPORTRANGE(""https://docs.google.com/spreadsheets/d/1IYY_tgx_IHuhSq3AJ5eI5OnqOPBNLWSHKh2a30DoXe8/edit?usp=sharing"",""กระบี่!I512"")"),0)</f>
        <v>0</v>
      </c>
      <c r="J617" s="194">
        <f ca="1">IFERROR(__xludf.DUMMYFUNCTION("IMPORTRANGE(""https://docs.google.com/spreadsheets/d/1IYY_tgx_IHuhSq3AJ5eI5OnqOPBNLWSHKh2a30DoXe8/edit?usp=sharing"",""กระบี่!J512"")"),0)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IFERROR(__xludf.DUMMYFUNCTION("IMPORTRANGE(""https://docs.google.com/spreadsheets/d/1IYY_tgx_IHuhSq3AJ5eI5OnqOPBNLWSHKh2a30DoXe8/edit?usp=sharing"",""กระบี่!I513"")"),0)</f>
        <v>0</v>
      </c>
      <c r="J618" s="195">
        <f ca="1">IFERROR(__xludf.DUMMYFUNCTION("IMPORTRANGE(""https://docs.google.com/spreadsheets/d/1IYY_tgx_IHuhSq3AJ5eI5OnqOPBNLWSHKh2a30DoXe8/edit?usp=sharing"",""กระบี่!J513"")"),0)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IFERROR(__xludf.DUMMYFUNCTION("IMPORTRANGE(""https://docs.google.com/spreadsheets/d/1IYY_tgx_IHuhSq3AJ5eI5OnqOPBNLWSHKh2a30DoXe8/edit?usp=sharing"",""กระบี่!I514"")"),0)</f>
        <v>0</v>
      </c>
      <c r="J619" s="195">
        <f ca="1">IFERROR(__xludf.DUMMYFUNCTION("IMPORTRANGE(""https://docs.google.com/spreadsheets/d/1IYY_tgx_IHuhSq3AJ5eI5OnqOPBNLWSHKh2a30DoXe8/edit?usp=sharing"",""กระบี่!J514"")"),0)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IFERROR(__xludf.DUMMYFUNCTION("IMPORTRANGE(""https://docs.google.com/spreadsheets/d/1IYY_tgx_IHuhSq3AJ5eI5OnqOPBNLWSHKh2a30DoXe8/edit?usp=sharing"",""กระบี่!I515"")"),0)</f>
        <v>0</v>
      </c>
      <c r="J620" s="209">
        <f ca="1">IFERROR(__xludf.DUMMYFUNCTION("IMPORTRANGE(""https://docs.google.com/spreadsheets/d/1IYY_tgx_IHuhSq3AJ5eI5OnqOPBNLWSHKh2a30DoXe8/edit?usp=sharing"",""กระบี่!J515"")"),0)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IFERROR(__xludf.DUMMYFUNCTION("IMPORTRANGE(""https://docs.google.com/spreadsheets/d/1IYY_tgx_IHuhSq3AJ5eI5OnqOPBNLWSHKh2a30DoXe8/edit?usp=sharing"",""กระบี่!I516"")"),0)</f>
        <v>0</v>
      </c>
      <c r="J621" s="209">
        <f ca="1">IFERROR(__xludf.DUMMYFUNCTION("IMPORTRANGE(""https://docs.google.com/spreadsheets/d/1IYY_tgx_IHuhSq3AJ5eI5OnqOPBNLWSHKh2a30DoXe8/edit?usp=sharing"",""กระบี่!J516"")"),0)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IFERROR(__xludf.DUMMYFUNCTION("IMPORTRANGE(""https://docs.google.com/spreadsheets/d/1IYY_tgx_IHuhSq3AJ5eI5OnqOPBNLWSHKh2a30DoXe8/edit?usp=sharing"",""กระบี่!I517"")"),0)</f>
        <v>0</v>
      </c>
      <c r="J622" s="195">
        <f ca="1">IFERROR(__xludf.DUMMYFUNCTION("IMPORTRANGE(""https://docs.google.com/spreadsheets/d/1IYY_tgx_IHuhSq3AJ5eI5OnqOPBNLWSHKh2a30DoXe8/edit?usp=sharing"",""กระบี่!J517"")"),0)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IFERROR(__xludf.DUMMYFUNCTION("IMPORTRANGE(""https://docs.google.com/spreadsheets/d/1IYY_tgx_IHuhSq3AJ5eI5OnqOPBNLWSHKh2a30DoXe8/edit?usp=sharing"",""กระบี่!I518"")"),0)</f>
        <v>0</v>
      </c>
      <c r="J623" s="195">
        <f ca="1">IFERROR(__xludf.DUMMYFUNCTION("IMPORTRANGE(""https://docs.google.com/spreadsheets/d/1IYY_tgx_IHuhSq3AJ5eI5OnqOPBNLWSHKh2a30DoXe8/edit?usp=sharing"",""กระบี่!J518"")"),0)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IFERROR(__xludf.DUMMYFUNCTION("IMPORTRANGE(""https://docs.google.com/spreadsheets/d/1IYY_tgx_IHuhSq3AJ5eI5OnqOPBNLWSHKh2a30DoXe8/edit?usp=sharing"",""กระบี่!I519"")"),0)</f>
        <v>0</v>
      </c>
      <c r="J624" s="194">
        <f ca="1">IFERROR(__xludf.DUMMYFUNCTION("IMPORTRANGE(""https://docs.google.com/spreadsheets/d/1IYY_tgx_IHuhSq3AJ5eI5OnqOPBNLWSHKh2a30DoXe8/edit?usp=sharing"",""กระบี่!J519"")"),0)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IFERROR(__xludf.DUMMYFUNCTION("IMPORTRANGE(""https://docs.google.com/spreadsheets/d/1IYY_tgx_IHuhSq3AJ5eI5OnqOPBNLWSHKh2a30DoXe8/edit?usp=sharing"",""กระบี่!I520"")"),0)</f>
        <v>0</v>
      </c>
      <c r="J625" s="195">
        <f ca="1">IFERROR(__xludf.DUMMYFUNCTION("IMPORTRANGE(""https://docs.google.com/spreadsheets/d/1IYY_tgx_IHuhSq3AJ5eI5OnqOPBNLWSHKh2a30DoXe8/edit?usp=sharing"",""กระบี่!J520"")"),0)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IFERROR(__xludf.DUMMYFUNCTION("IMPORTRANGE(""https://docs.google.com/spreadsheets/d/1IYY_tgx_IHuhSq3AJ5eI5OnqOPBNLWSHKh2a30DoXe8/edit?usp=sharing"",""กระบี่!I521"")"),0)</f>
        <v>0</v>
      </c>
      <c r="J626" s="195">
        <f ca="1">IFERROR(__xludf.DUMMYFUNCTION("IMPORTRANGE(""https://docs.google.com/spreadsheets/d/1IYY_tgx_IHuhSq3AJ5eI5OnqOPBNLWSHKh2a30DoXe8/edit?usp=sharing"",""กระบี่!J521"")"),0)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IFERROR(__xludf.DUMMYFUNCTION("IMPORTRANGE(""https://docs.google.com/spreadsheets/d/1IYY_tgx_IHuhSq3AJ5eI5OnqOPBNLWSHKh2a30DoXe8/edit?usp=sharing"",""กระบี่!I523"")"),220041)</f>
        <v>220041</v>
      </c>
      <c r="J628" s="347">
        <f ca="1">IFERROR(__xludf.DUMMYFUNCTION("IMPORTRANGE(""https://docs.google.com/spreadsheets/d/1IYY_tgx_IHuhSq3AJ5eI5OnqOPBNLWSHKh2a30DoXe8/edit?usp=sharing"",""กระบี่!J523"")"),368211.59)</f>
        <v>368211.59</v>
      </c>
      <c r="K628" s="348">
        <f t="shared" ref="K628:K635" ca="1" si="129">IF(I628&gt;0,J628*100/I628,0)</f>
        <v>167.33771887966333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IFERROR(__xludf.DUMMYFUNCTION("IMPORTRANGE(""https://docs.google.com/spreadsheets/d/1IYY_tgx_IHuhSq3AJ5eI5OnqOPBNLWSHKh2a30DoXe8/edit?usp=sharing"",""กระบี่!J524"")"),27)</f>
        <v>27</v>
      </c>
      <c r="K629" s="348">
        <f t="shared" ca="1" si="129"/>
        <v>122.72727272727273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7">
        <f ca="1">IFERROR(__xludf.DUMMYFUNCTION("IMPORTRANGE(""https://docs.google.com/spreadsheets/d/1IYY_tgx_IHuhSq3AJ5eI5OnqOPBNLWSHKh2a30DoXe8/edit?usp=sharing"",""กระบี่!J525"")"),1535689.18)</f>
        <v>1535689.18</v>
      </c>
      <c r="K630" s="348">
        <f t="shared" ca="1" si="129"/>
        <v>24.008121552783017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IFERROR(__xludf.DUMMYFUNCTION("IMPORTRANGE(""https://docs.google.com/spreadsheets/d/1IYY_tgx_IHuhSq3AJ5eI5OnqOPBNLWSHKh2a30DoXe8/edit?usp=sharing"",""กระบี่!J526"")"),115)</f>
        <v>115</v>
      </c>
      <c r="K631" s="348">
        <f t="shared" ca="1" si="129"/>
        <v>65.340909090909093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IFERROR(__xludf.DUMMYFUNCTION("IMPORTRANGE(""https://docs.google.com/spreadsheets/d/1IYY_tgx_IHuhSq3AJ5eI5OnqOPBNLWSHKh2a30DoXe8/edit?usp=sharing"",""กระบี่!J527"")"),49748.18)</f>
        <v>49748.18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IFERROR(__xludf.DUMMYFUNCTION("IMPORTRANGE(""https://docs.google.com/spreadsheets/d/1IYY_tgx_IHuhSq3AJ5eI5OnqOPBNLWSHKh2a30DoXe8/edit?usp=sharing"",""กระบี่!J528"")"),13)</f>
        <v>13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IFERROR(__xludf.DUMMYFUNCTION("IMPORTRANGE(""https://docs.google.com/spreadsheets/d/1IYY_tgx_IHuhSq3AJ5eI5OnqOPBNLWSHKh2a30DoXe8/edit?usp=sharing"",""กระบี่!J529"")"),200000)</f>
        <v>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565"/>
      <c r="B635" s="566"/>
      <c r="C635" s="566"/>
      <c r="D635" s="567"/>
      <c r="E635" s="568"/>
      <c r="F635" s="568"/>
      <c r="G635" s="569"/>
      <c r="H635" s="570" t="s">
        <v>37</v>
      </c>
      <c r="I635" s="404">
        <f ca="1">IFERROR(__xludf.DUMMYFUNCTION("IMPORTRANGE(""https://docs.google.com/spreadsheets/d/1IYY_tgx_IHuhSq3AJ5eI5OnqOPBNLWSHKh2a30DoXe8/edit?usp=sharing"",""กระบี่!I530"")"),4)</f>
        <v>4</v>
      </c>
      <c r="J635" s="404">
        <f ca="1">IFERROR(__xludf.DUMMYFUNCTION("IMPORTRANGE(""https://docs.google.com/spreadsheets/d/1IYY_tgx_IHuhSq3AJ5eI5OnqOPBNLWSHKh2a30DoXe8/edit?usp=sharing"",""กระบี่!J530"")"),4)</f>
        <v>4</v>
      </c>
      <c r="K635" s="357">
        <f t="shared" ca="1" si="129"/>
        <v>100</v>
      </c>
      <c r="L635" s="357"/>
      <c r="M635" s="357"/>
      <c r="N635" s="357"/>
      <c r="O635" s="250"/>
      <c r="P635" s="250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IFERROR(__xludf.DUMMYFUNCTION("IMPORTRANGE(""https://docs.google.com/spreadsheets/d/1IYY_tgx_IHuhSq3AJ5eI5OnqOPBNLWSHKh2a30DoXe8/edit?usp=sharing"",""กระบี่!J541"")"),0)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IFERROR(__xludf.DUMMYFUNCTION("IMPORTRANGE(""https://docs.google.com/spreadsheets/d/1IYY_tgx_IHuhSq3AJ5eI5OnqOPBNLWSHKh2a30DoXe8/edit?usp=sharing"",""กระบี่!J542"")"),0)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IFERROR(__xludf.DUMMYFUNCTION("IMPORTRANGE(""https://docs.google.com/spreadsheets/d/1IYY_tgx_IHuhSq3AJ5eI5OnqOPBNLWSHKh2a30DoXe8/edit?usp=sharing"",""กระบี่!I543"")"),0)</f>
        <v>0</v>
      </c>
      <c r="J648" s="547">
        <f ca="1">IFERROR(__xludf.DUMMYFUNCTION("IMPORTRANGE(""https://docs.google.com/spreadsheets/d/1IYY_tgx_IHuhSq3AJ5eI5OnqOPBNLWSHKh2a30DoXe8/edit?usp=sharing"",""กระบี่!J543"")"),0)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IFERROR(__xludf.DUMMYFUNCTION("IMPORTRANGE(""https://docs.google.com/spreadsheets/d/1IYY_tgx_IHuhSq3AJ5eI5OnqOPBNLWSHKh2a30DoXe8/edit?usp=sharing"",""กระบี่!L543"")"),0)</f>
        <v>0</v>
      </c>
      <c r="M648" s="534"/>
      <c r="N648" s="549">
        <f ca="1">IFERROR(__xludf.DUMMYFUNCTION("IMPORTRANGE(""https://docs.google.com/spreadsheets/d/1IYY_tgx_IHuhSq3AJ5eI5OnqOPBNLWSHKh2a30DoXe8/edit?usp=sharing"",""กระบี่!M543"")"),0)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IFERROR(__xludf.DUMMYFUNCTION("IMPORTRANGE(""https://docs.google.com/spreadsheets/d/1IYY_tgx_IHuhSq3AJ5eI5OnqOPBNLWSHKh2a30DoXe8/edit?usp=sharing"",""กระบี่!I544"")"),0)</f>
        <v>0</v>
      </c>
      <c r="J649" s="547">
        <f ca="1">IFERROR(__xludf.DUMMYFUNCTION("IMPORTRANGE(""https://docs.google.com/spreadsheets/d/1IYY_tgx_IHuhSq3AJ5eI5OnqOPBNLWSHKh2a30DoXe8/edit?usp=sharing"",""กระบี่!J544"")"),0)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IFERROR(__xludf.DUMMYFUNCTION("IMPORTRANGE(""https://docs.google.com/spreadsheets/d/1IYY_tgx_IHuhSq3AJ5eI5OnqOPBNLWSHKh2a30DoXe8/edit?usp=sharing"",""กระบี่!L544"")"),0)</f>
        <v>0</v>
      </c>
      <c r="M649" s="534"/>
      <c r="N649" s="549">
        <f ca="1">IFERROR(__xludf.DUMMYFUNCTION("IMPORTRANGE(""https://docs.google.com/spreadsheets/d/1IYY_tgx_IHuhSq3AJ5eI5OnqOPBNLWSHKh2a30DoXe8/edit?usp=sharing"",""กระบี่!M544"")"),0)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IFERROR(__xludf.DUMMYFUNCTION("IMPORTRANGE(""https://docs.google.com/spreadsheets/d/1IYY_tgx_IHuhSq3AJ5eI5OnqOPBNLWSHKh2a30DoXe8/edit?usp=sharing"",""กระบี่!I545"")"),0)</f>
        <v>0</v>
      </c>
      <c r="J650" s="547">
        <f ca="1">IFERROR(__xludf.DUMMYFUNCTION("IMPORTRANGE(""https://docs.google.com/spreadsheets/d/1IYY_tgx_IHuhSq3AJ5eI5OnqOPBNLWSHKh2a30DoXe8/edit?usp=sharing"",""กระบี่!J545"")"),0)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IFERROR(__xludf.DUMMYFUNCTION("IMPORTRANGE(""https://docs.google.com/spreadsheets/d/1IYY_tgx_IHuhSq3AJ5eI5OnqOPBNLWSHKh2a30DoXe8/edit?usp=sharing"",""กระบี่!L545"")"),0)</f>
        <v>0</v>
      </c>
      <c r="M650" s="534"/>
      <c r="N650" s="549">
        <f ca="1">IFERROR(__xludf.DUMMYFUNCTION("IMPORTRANGE(""https://docs.google.com/spreadsheets/d/1IYY_tgx_IHuhSq3AJ5eI5OnqOPBNLWSHKh2a30DoXe8/edit?usp=sharing"",""กระบี่!M545"")"),0)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IFERROR(__xludf.DUMMYFUNCTION("IMPORTRANGE(""https://docs.google.com/spreadsheets/d/1IYY_tgx_IHuhSq3AJ5eI5OnqOPBNLWSHKh2a30DoXe8/edit?usp=sharing"",""กระบี่!I546"")"),0)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IFERROR(__xludf.DUMMYFUNCTION("IMPORTRANGE(""https://docs.google.com/spreadsheets/d/1IYY_tgx_IHuhSq3AJ5eI5OnqOPBNLWSHKh2a30DoXe8/edit?usp=sharing"",""กระบี่!L546"")"),0)</f>
        <v>0</v>
      </c>
      <c r="M651" s="534"/>
      <c r="N651" s="549">
        <f ca="1">IFERROR(__xludf.DUMMYFUNCTION("IMPORTRANGE(""https://docs.google.com/spreadsheets/d/1IYY_tgx_IHuhSq3AJ5eI5OnqOPBNLWSHKh2a30DoXe8/edit?usp=sharing"",""กระบี่!M546"")"),0)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IFERROR(__xludf.DUMMYFUNCTION("IMPORTRANGE(""https://docs.google.com/spreadsheets/d/1IYY_tgx_IHuhSq3AJ5eI5OnqOPBNLWSHKh2a30DoXe8/edit?usp=sharing"",""กระบี่!J547"")"),0)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IFERROR(__xludf.DUMMYFUNCTION("IMPORTRANGE(""https://docs.google.com/spreadsheets/d/1IYY_tgx_IHuhSq3AJ5eI5OnqOPBNLWSHKh2a30DoXe8/edit?usp=sharing"",""กระบี่!J548"")"),0)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IFERROR(__xludf.DUMMYFUNCTION("IMPORTRANGE(""https://docs.google.com/spreadsheets/d/1IYY_tgx_IHuhSq3AJ5eI5OnqOPBNLWSHKh2a30DoXe8/edit?usp=sharing"",""กระบี่!J550"")"),0)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IFERROR(__xludf.DUMMYFUNCTION("IMPORTRANGE(""https://docs.google.com/spreadsheets/d/1IYY_tgx_IHuhSq3AJ5eI5OnqOPBNLWSHKh2a30DoXe8/edit?usp=sharing"",""กระบี่!J551"")"),0)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IFERROR(__xludf.DUMMYFUNCTION("IMPORTRANGE(""https://docs.google.com/spreadsheets/d/1IYY_tgx_IHuhSq3AJ5eI5OnqOPBNLWSHKh2a30DoXe8/edit?usp=sharing"",""กระบี่!J552"")"),0)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IFERROR(__xludf.DUMMYFUNCTION("IMPORTRANGE(""https://docs.google.com/spreadsheets/d/1IYY_tgx_IHuhSq3AJ5eI5OnqOPBNLWSHKh2a30DoXe8/edit?usp=sharing"",""กระบี่!J553"")"),0)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IFERROR(__xludf.DUMMYFUNCTION("IMPORTRANGE(""https://docs.google.com/spreadsheets/d/1IYY_tgx_IHuhSq3AJ5eI5OnqOPBNLWSHKh2a30DoXe8/edit?usp=sharing"",""กระบี่!J554"")"),0)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IFERROR(__xludf.DUMMYFUNCTION("IMPORTRANGE(""https://docs.google.com/spreadsheets/d/1IYY_tgx_IHuhSq3AJ5eI5OnqOPBNLWSHKh2a30DoXe8/edit?usp=sharing"",""กระบี่!J555"")"),0)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IFERROR(__xludf.DUMMYFUNCTION("IMPORTRANGE(""https://docs.google.com/spreadsheets/d/1IYY_tgx_IHuhSq3AJ5eI5OnqOPBNLWSHKh2a30DoXe8/edit?usp=sharing"",""กระบี่!J556"")"),0)</f>
        <v>0</v>
      </c>
      <c r="K661" s="548"/>
      <c r="L661" s="535">
        <f ca="1">IFERROR(__xludf.DUMMYFUNCTION("IMPORTRANGE(""https://docs.google.com/spreadsheets/d/1IYY_tgx_IHuhSq3AJ5eI5OnqOPBNLWSHKh2a30DoXe8/edit?usp=sharing"",""กระบี่!L556"")"),0)</f>
        <v>0</v>
      </c>
      <c r="M661" s="534"/>
      <c r="N661" s="549">
        <f ca="1">IFERROR(__xludf.DUMMYFUNCTION("IMPORTRANGE(""https://docs.google.com/spreadsheets/d/1IYY_tgx_IHuhSq3AJ5eI5OnqOPBNLWSHKh2a30DoXe8/edit?usp=sharing"",""กระบี่!M556"")"),0)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IFERROR(__xludf.DUMMYFUNCTION("IMPORTRANGE(""https://docs.google.com/spreadsheets/d/1IYY_tgx_IHuhSq3AJ5eI5OnqOPBNLWSHKh2a30DoXe8/edit?usp=sharing"",""กระบี่!J557"")"),0)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IFERROR(__xludf.DUMMYFUNCTION("IMPORTRANGE(""https://docs.google.com/spreadsheets/d/1IYY_tgx_IHuhSq3AJ5eI5OnqOPBNLWSHKh2a30DoXe8/edit?usp=sharing"",""กระบี่!I558"")"),0)</f>
        <v>0</v>
      </c>
      <c r="J663" s="547">
        <f ca="1">IFERROR(__xludf.DUMMYFUNCTION("IMPORTRANGE(""https://docs.google.com/spreadsheets/d/1IYY_tgx_IHuhSq3AJ5eI5OnqOPBNLWSHKh2a30DoXe8/edit?usp=sharing"",""กระบี่!J558"")"),0)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IFERROR(__xludf.DUMMYFUNCTION("IMPORTRANGE(""https://docs.google.com/spreadsheets/d/1IYY_tgx_IHuhSq3AJ5eI5OnqOPBNLWSHKh2a30DoXe8/edit?usp=sharing"",""กระบี่!I560"")"),0)</f>
        <v>0</v>
      </c>
      <c r="J665" s="547">
        <f ca="1">IFERROR(__xludf.DUMMYFUNCTION("IMPORTRANGE(""https://docs.google.com/spreadsheets/d/1IYY_tgx_IHuhSq3AJ5eI5OnqOPBNLWSHKh2a30DoXe8/edit?usp=sharing"",""กระบี่!J560"")"),0)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IFERROR(__xludf.DUMMYFUNCTION("IMPORTRANGE(""https://docs.google.com/spreadsheets/d/1IYY_tgx_IHuhSq3AJ5eI5OnqOPBNLWSHKh2a30DoXe8/edit?usp=sharing"",""กระบี่!L560"")"),0)</f>
        <v>0</v>
      </c>
      <c r="M665" s="534"/>
      <c r="N665" s="549">
        <f ca="1">IFERROR(__xludf.DUMMYFUNCTION("IMPORTRANGE(""https://docs.google.com/spreadsheets/d/1IYY_tgx_IHuhSq3AJ5eI5OnqOPBNLWSHKh2a30DoXe8/edit?usp=sharing"",""กระบี่!M560"")"),0)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IFERROR(__xludf.DUMMYFUNCTION("IMPORTRANGE(""https://docs.google.com/spreadsheets/d/1IYY_tgx_IHuhSq3AJ5eI5OnqOPBNLWSHKh2a30DoXe8/edit?usp=sharing"",""กระบี่!J561"")"),0)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IFERROR(__xludf.DUMMYFUNCTION("IMPORTRANGE(""https://docs.google.com/spreadsheets/d/1IYY_tgx_IHuhSq3AJ5eI5OnqOPBNLWSHKh2a30DoXe8/edit?usp=sharing"",""กระบี่!J562"")"),0)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IFERROR(__xludf.DUMMYFUNCTION("IMPORTRANGE(""https://docs.google.com/spreadsheets/d/1IYY_tgx_IHuhSq3AJ5eI5OnqOPBNLWSHKh2a30DoXe8/edit?usp=sharing"",""กระบี่!I563"")"),0)</f>
        <v>0</v>
      </c>
      <c r="J668" s="547">
        <f ca="1">IFERROR(__xludf.DUMMYFUNCTION("IMPORTRANGE(""https://docs.google.com/spreadsheets/d/1IYY_tgx_IHuhSq3AJ5eI5OnqOPBNLWSHKh2a30DoXe8/edit?usp=sharing"",""กระบี่!J563"")"),0)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IFERROR(__xludf.DUMMYFUNCTION("IMPORTRANGE(""https://docs.google.com/spreadsheets/d/1IYY_tgx_IHuhSq3AJ5eI5OnqOPBNLWSHKh2a30DoXe8/edit?usp=sharing"",""กระบี่!L563"")"),0)</f>
        <v>0</v>
      </c>
      <c r="M668" s="534"/>
      <c r="N668" s="549">
        <f ca="1">IFERROR(__xludf.DUMMYFUNCTION("IMPORTRANGE(""https://docs.google.com/spreadsheets/d/1IYY_tgx_IHuhSq3AJ5eI5OnqOPBNLWSHKh2a30DoXe8/edit?usp=sharing"",""กระบี่!M563"")"),0)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IFERROR(__xludf.DUMMYFUNCTION("IMPORTRANGE(""https://docs.google.com/spreadsheets/d/1IYY_tgx_IHuhSq3AJ5eI5OnqOPBNLWSHKh2a30DoXe8/edit?usp=sharing"",""กระบี่!J564"")"),0)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IFERROR(__xludf.DUMMYFUNCTION("IMPORTRANGE(""https://docs.google.com/spreadsheets/d/1IYY_tgx_IHuhSq3AJ5eI5OnqOPBNLWSHKh2a30DoXe8/edit?usp=sharing"",""กระบี่!J565"")"),0)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IFERROR(__xludf.DUMMYFUNCTION("IMPORTRANGE(""https://docs.google.com/spreadsheets/d/1IYY_tgx_IHuhSq3AJ5eI5OnqOPBNLWSHKh2a30DoXe8/edit?usp=sharing"",""กระบี่!I566"")"),0)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IFERROR(__xludf.DUMMYFUNCTION("IMPORTRANGE(""https://docs.google.com/spreadsheets/d/1IYY_tgx_IHuhSq3AJ5eI5OnqOPBNLWSHKh2a30DoXe8/edit?usp=sharing"",""กระบี่!L566"")"),0)</f>
        <v>0</v>
      </c>
      <c r="M671" s="534"/>
      <c r="N671" s="549">
        <f ca="1">IFERROR(__xludf.DUMMYFUNCTION("IMPORTRANGE(""https://docs.google.com/spreadsheets/d/1IYY_tgx_IHuhSq3AJ5eI5OnqOPBNLWSHKh2a30DoXe8/edit?usp=sharing"",""กระบี่!M566"")"),0)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IFERROR(__xludf.DUMMYFUNCTION("IMPORTRANGE(""https://docs.google.com/spreadsheets/d/1IYY_tgx_IHuhSq3AJ5eI5OnqOPBNLWSHKh2a30DoXe8/edit?usp=sharing"",""กระบี่!J567"")"),0)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IFERROR(__xludf.DUMMYFUNCTION("IMPORTRANGE(""https://docs.google.com/spreadsheets/d/1IYY_tgx_IHuhSq3AJ5eI5OnqOPBNLWSHKh2a30DoXe8/edit?usp=sharing"",""กระบี่!J568"")"),0)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IFERROR(__xludf.DUMMYFUNCTION("IMPORTRANGE(""https://docs.google.com/spreadsheets/d/1IYY_tgx_IHuhSq3AJ5eI5OnqOPBNLWSHKh2a30DoXe8/edit?usp=sharing"",""กระบี่!J569"")"),0)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IFERROR(__xludf.DUMMYFUNCTION("IMPORTRANGE(""https://docs.google.com/spreadsheets/d/1IYY_tgx_IHuhSq3AJ5eI5OnqOPBNLWSHKh2a30DoXe8/edit?usp=sharing"",""กระบี่!J570"")"),0)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IFERROR(__xludf.DUMMYFUNCTION("IMPORTRANGE(""https://docs.google.com/spreadsheets/d/1IYY_tgx_IHuhSq3AJ5eI5OnqOPBNLWSHKh2a30DoXe8/edit?usp=sharing"",""กระบี่!J571"")"),0)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IFERROR(__xludf.DUMMYFUNCTION("IMPORTRANGE(""https://docs.google.com/spreadsheets/d/1IYY_tgx_IHuhSq3AJ5eI5OnqOPBNLWSHKh2a30DoXe8/edit?usp=sharing"",""กระบี่!J572"")"),0)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262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5741007</v>
      </c>
      <c r="M8" s="23">
        <f t="shared" ca="1" si="0"/>
        <v>3959675.74</v>
      </c>
      <c r="N8" s="23">
        <f t="shared" ca="1" si="0"/>
        <v>4566135.67</v>
      </c>
      <c r="O8" s="22">
        <f t="shared" ref="O8:O16" ca="1" si="1">IF(L8&gt;0,N8*100/L8,0)</f>
        <v>79.5354485720014</v>
      </c>
      <c r="P8" s="22">
        <f t="shared" ref="P8:P16" ca="1" si="2">IF(M8&gt;0,N8*100/M8,0)</f>
        <v>115.3158988215535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5741007</v>
      </c>
      <c r="M10" s="30">
        <f t="shared" ca="1" si="4"/>
        <v>3959675.74</v>
      </c>
      <c r="N10" s="30">
        <f t="shared" ca="1" si="4"/>
        <v>4566135.67</v>
      </c>
      <c r="O10" s="29">
        <f t="shared" ca="1" si="1"/>
        <v>79.5354485720014</v>
      </c>
      <c r="P10" s="29">
        <f t="shared" ca="1" si="2"/>
        <v>115.3158988215535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5648607</v>
      </c>
      <c r="M12" s="38">
        <f t="shared" ca="1" si="6"/>
        <v>3867275.74</v>
      </c>
      <c r="N12" s="38">
        <f t="shared" ca="1" si="6"/>
        <v>4473735.67</v>
      </c>
      <c r="O12" s="38">
        <f t="shared" ca="1" si="1"/>
        <v>79.200689125655231</v>
      </c>
      <c r="P12" s="38">
        <f t="shared" ca="1" si="2"/>
        <v>115.68183834752884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1691300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3957307</v>
      </c>
      <c r="M14" s="38">
        <f t="shared" si="8"/>
        <v>0</v>
      </c>
      <c r="N14" s="38">
        <f t="shared" ca="1" si="8"/>
        <v>1447787.62</v>
      </c>
      <c r="O14" s="41">
        <f t="shared" ca="1" si="1"/>
        <v>36.585173199855355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3657110</v>
      </c>
      <c r="M18" s="23">
        <f t="shared" ca="1" si="11"/>
        <v>3959675.74</v>
      </c>
      <c r="N18" s="23">
        <f t="shared" ca="1" si="11"/>
        <v>3118348.05</v>
      </c>
      <c r="O18" s="22">
        <f t="shared" ref="O18:O20" ca="1" si="12">IF(L18&gt;0,N18*100/L18,0)</f>
        <v>85.268095572733657</v>
      </c>
      <c r="P18" s="22">
        <f t="shared" ref="P18:P26" ca="1" si="13">IF(M18&gt;0,N18*100/M18,0)</f>
        <v>78.752611444895734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3657110</v>
      </c>
      <c r="M20" s="30">
        <f t="shared" ca="1" si="15"/>
        <v>3959675.74</v>
      </c>
      <c r="N20" s="30">
        <f t="shared" ca="1" si="15"/>
        <v>3118348.05</v>
      </c>
      <c r="O20" s="29">
        <f t="shared" ca="1" si="12"/>
        <v>85.268095572733657</v>
      </c>
      <c r="P20" s="29">
        <f t="shared" ca="1" si="13"/>
        <v>78.752611444895734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3564710</v>
      </c>
      <c r="M22" s="42">
        <f t="shared" ca="1" si="18"/>
        <v>3867275.74</v>
      </c>
      <c r="N22" s="41">
        <f t="shared" ca="1" si="18"/>
        <v>3025948.05</v>
      </c>
      <c r="O22" s="41">
        <f t="shared" ca="1" si="17"/>
        <v>84.886233382238672</v>
      </c>
      <c r="P22" s="41">
        <f t="shared" ca="1" si="13"/>
        <v>78.24495209126205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1691300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1873410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92400</v>
      </c>
      <c r="M26" s="50">
        <f t="shared" ca="1" si="22"/>
        <v>92400</v>
      </c>
      <c r="N26" s="50">
        <f t="shared" ca="1" si="22"/>
        <v>92400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2083897</v>
      </c>
      <c r="M28" s="23">
        <f t="shared" si="23"/>
        <v>0</v>
      </c>
      <c r="N28" s="23">
        <f t="shared" ca="1" si="23"/>
        <v>1447787.62</v>
      </c>
      <c r="O28" s="22">
        <f t="shared" ref="O28:O30" ca="1" si="24">IF(L28&gt;0,N28*100/L28,0)</f>
        <v>69.475008601672727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2083897</v>
      </c>
      <c r="M30" s="30">
        <f t="shared" si="27"/>
        <v>0</v>
      </c>
      <c r="N30" s="30">
        <f t="shared" ca="1" si="27"/>
        <v>1447787.62</v>
      </c>
      <c r="O30" s="29">
        <f t="shared" ca="1" si="24"/>
        <v>69.475008601672727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2083897</v>
      </c>
      <c r="M32" s="41">
        <f t="shared" si="30"/>
        <v>0</v>
      </c>
      <c r="N32" s="41">
        <f t="shared" ca="1" si="30"/>
        <v>1447787.62</v>
      </c>
      <c r="O32" s="41">
        <f t="shared" ca="1" si="29"/>
        <v>69.475008601672727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2083897</v>
      </c>
      <c r="M34" s="41">
        <f t="shared" si="32"/>
        <v>0</v>
      </c>
      <c r="N34" s="41">
        <f t="shared" ca="1" si="32"/>
        <v>1447787.62</v>
      </c>
      <c r="O34" s="41">
        <f t="shared" ca="1" si="29"/>
        <v>69.475008601672727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3657110</v>
      </c>
      <c r="M37" s="55">
        <f t="shared" ca="1" si="33"/>
        <v>3959675.74</v>
      </c>
      <c r="N37" s="55">
        <f t="shared" ca="1" si="33"/>
        <v>3118348.05</v>
      </c>
      <c r="O37" s="56">
        <f t="shared" ca="1" si="29"/>
        <v>85.268095572733657</v>
      </c>
      <c r="P37" s="56">
        <f t="shared" ca="1" si="25"/>
        <v>78.752611444895734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684100</v>
      </c>
      <c r="M41" s="79">
        <f t="shared" ca="1" si="34"/>
        <v>704100</v>
      </c>
      <c r="N41" s="79">
        <f t="shared" ca="1" si="34"/>
        <v>633039.88</v>
      </c>
      <c r="O41" s="78">
        <f t="shared" ref="O41:O43" ca="1" si="35">IF(L41&gt;0,N41*100/L41,0)</f>
        <v>92.536161379915214</v>
      </c>
      <c r="P41" s="78">
        <f t="shared" ref="P41:P43" ca="1" si="36">IF(M41&gt;0,N41*100/M41,0)</f>
        <v>89.907666524641385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684100</v>
      </c>
      <c r="M43" s="79">
        <f t="shared" ca="1" si="38"/>
        <v>704100</v>
      </c>
      <c r="N43" s="79">
        <f t="shared" ca="1" si="38"/>
        <v>633039.88</v>
      </c>
      <c r="O43" s="78">
        <f t="shared" ca="1" si="35"/>
        <v>92.536161379915214</v>
      </c>
      <c r="P43" s="78">
        <f t="shared" ca="1" si="36"/>
        <v>89.907666524641385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684100</v>
      </c>
      <c r="M45" s="91">
        <f ca="1">IFERROR(__xludf.DUMMYFUNCTION("IMPORTRANGE(""https://docs.google.com/spreadsheets/d/1Yj_ptqi66GCucihVvJfMjLAmec39IyEx_6qawtMGysU/edit?usp=sharing"",""สบก!Q82"")"),704100)</f>
        <v>704100</v>
      </c>
      <c r="N45" s="91">
        <f ca="1">IFERROR(__xludf.DUMMYFUNCTION("IMPORTRANGE(""https://docs.google.com/spreadsheets/d/1Yj_ptqi66GCucihVvJfMjLAmec39IyEx_6qawtMGysU/edit?usp=sharing"",""สบก!R82"")"),633039.88)</f>
        <v>633039.88</v>
      </c>
      <c r="O45" s="92">
        <f ca="1">IF(L45&gt;0,N45*100/L45,0)</f>
        <v>92.536161379915214</v>
      </c>
      <c r="P45" s="92">
        <f ca="1">IF(M45&gt;0,N45*100/M45,0)</f>
        <v>89.907666524641385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IFERROR(__xludf.DUMMYFUNCTION("IMPORTRANGE(""https://docs.google.com/spreadsheets/d/1Yj_ptqi66GCucihVvJfMjLAmec39IyEx_6qawtMGysU/edit?usp=sharing"",""สบก!M82"")"),684100)</f>
        <v>684100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531397.74</v>
      </c>
      <c r="N53" s="125">
        <f t="shared" ca="1" si="39"/>
        <v>521197.74</v>
      </c>
      <c r="O53" s="124">
        <f t="shared" ref="O53:O55" ca="1" si="40">IF(L53&gt;0,N53*100/L53,0)</f>
        <v>104.239548</v>
      </c>
      <c r="P53" s="124">
        <f t="shared" ref="P53:P55" ca="1" si="41">IF(M53&gt;0,N53*100/M53,0)</f>
        <v>98.080533801291665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531397.74</v>
      </c>
      <c r="N55" s="125">
        <f t="shared" ca="1" si="43"/>
        <v>521197.74</v>
      </c>
      <c r="O55" s="124">
        <f t="shared" ca="1" si="40"/>
        <v>104.239548</v>
      </c>
      <c r="P55" s="124">
        <f t="shared" ca="1" si="41"/>
        <v>98.080533801291665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IFERROR(__xludf.DUMMYFUNCTION("IMPORTRANGE(""https://docs.google.com/spreadsheets/d/1Yj_ptqi66GCucihVvJfMjLAmec39IyEx_6qawtMGysU/edit?usp=sharing"",""สบก!Z82"")"),531397.74)</f>
        <v>531397.74</v>
      </c>
      <c r="N57" s="91">
        <f ca="1">IFERROR(__xludf.DUMMYFUNCTION("IMPORTRANGE(""https://docs.google.com/spreadsheets/d/1Yj_ptqi66GCucihVvJfMjLAmec39IyEx_6qawtMGysU/edit?usp=sharing"",""สบก!AA82"")"),521197.74)</f>
        <v>521197.74</v>
      </c>
      <c r="O57" s="92">
        <f ca="1">IF(L57&gt;0,N57*100/L57,0)</f>
        <v>104.239548</v>
      </c>
      <c r="P57" s="92">
        <f ca="1">IF(M57&gt;0,N57*100/M57,0)</f>
        <v>98.080533801291665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IFERROR(__xludf.DUMMYFUNCTION("IMPORTRANGE(""https://docs.google.com/spreadsheets/d/1Yj_ptqi66GCucihVvJfMjLAmec39IyEx_6qawtMGysU/edit?usp=sharing"",""สบก!V82"")"),500000)</f>
        <v>500000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780800</v>
      </c>
      <c r="M66" s="156">
        <f t="shared" ca="1" si="45"/>
        <v>823100</v>
      </c>
      <c r="N66" s="156">
        <f t="shared" ca="1" si="45"/>
        <v>627511.36</v>
      </c>
      <c r="O66" s="155">
        <f t="shared" ref="O66:O68" ca="1" si="46">IF(L66&gt;0,N66*100/L66,0)</f>
        <v>80.367745901639339</v>
      </c>
      <c r="P66" s="155">
        <f t="shared" ref="P66:P68" ca="1" si="47">IF(M66&gt;0,N66*100/M66,0)</f>
        <v>76.237560442230588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780800</v>
      </c>
      <c r="M68" s="161">
        <f t="shared" ca="1" si="49"/>
        <v>823100</v>
      </c>
      <c r="N68" s="161">
        <f t="shared" ca="1" si="49"/>
        <v>627511.36</v>
      </c>
      <c r="O68" s="160">
        <f t="shared" ca="1" si="46"/>
        <v>80.367745901639339</v>
      </c>
      <c r="P68" s="160">
        <f t="shared" ca="1" si="47"/>
        <v>76.237560442230588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780800</v>
      </c>
      <c r="M70" s="173">
        <f ca="1">IFERROR(__xludf.DUMMYFUNCTION("IMPORTRANGE(""https://docs.google.com/spreadsheets/d/1Yj_ptqi66GCucihVvJfMjLAmec39IyEx_6qawtMGysU/edit?usp=sharing"",""สบก!AI82"")"),823100)</f>
        <v>823100</v>
      </c>
      <c r="N70" s="174">
        <f ca="1">IFERROR(__xludf.DUMMYFUNCTION("IMPORTRANGE(""https://docs.google.com/spreadsheets/d/1Yj_ptqi66GCucihVvJfMjLAmec39IyEx_6qawtMGysU/edit?usp=sharing"",""สบก!AJ82"")"),627511.36)</f>
        <v>627511.36</v>
      </c>
      <c r="O70" s="175">
        <f ca="1">IF(L70&gt;0,N70*100/L70,0)</f>
        <v>80.367745901639339</v>
      </c>
      <c r="P70" s="175">
        <f ca="1">IF(M70&gt;0,N70*100/M70,0)</f>
        <v>76.237560442230588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IFERROR(__xludf.DUMMYFUNCTION("IMPORTRANGE(""https://docs.google.com/spreadsheets/d/1Yj_ptqi66GCucihVvJfMjLAmec39IyEx_6qawtMGysU/edit?usp=sharing"",""สบก!AE82"")"),180800)</f>
        <v>180800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IFERROR(__xludf.DUMMYFUNCTION("IMPORTRANGE(""https://docs.google.com/spreadsheets/d/1Yj_ptqi66GCucihVvJfMjLAmec39IyEx_6qawtMGysU/edit?usp=sharing"",""สบก!AF82"")"),600000)</f>
        <v>600000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IFERROR(__xludf.DUMMYFUNCTION("IMPORTRANGE(""https://docs.google.com/spreadsheets/d/1IYY_tgx_IHuhSq3AJ5eI5OnqOPBNLWSHKh2a30DoXe8/edit?usp=sharing"",""ชุมพร!J16"")"),0)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IFERROR(__xludf.DUMMYFUNCTION("IMPORTRANGE(""https://docs.google.com/spreadsheets/d/1IYY_tgx_IHuhSq3AJ5eI5OnqOPBNLWSHKh2a30DoXe8/edit?usp=sharing"",""ชุมพร!J17"")"),1)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IFERROR(__xludf.DUMMYFUNCTION("IMPORTRANGE(""https://docs.google.com/spreadsheets/d/1IYY_tgx_IHuhSq3AJ5eI5OnqOPBNLWSHKh2a30DoXe8/edit?usp=sharing"",""ชุมพร!J18"")"),1)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IFERROR(__xludf.DUMMYFUNCTION("IMPORTRANGE(""https://docs.google.com/spreadsheets/d/1IYY_tgx_IHuhSq3AJ5eI5OnqOPBNLWSHKh2a30DoXe8/edit?usp=sharing"",""ชุมพร!J19"")"),1)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IFERROR(__xludf.DUMMYFUNCTION("IMPORTRANGE(""https://docs.google.com/spreadsheets/d/1IYY_tgx_IHuhSq3AJ5eI5OnqOPBNLWSHKh2a30DoXe8/edit?usp=sharing"",""ชุมพร!I20"")"),2)</f>
        <v>2</v>
      </c>
      <c r="J80" s="207">
        <f ca="1">IFERROR(__xludf.DUMMYFUNCTION("IMPORTRANGE(""https://docs.google.com/spreadsheets/d/1IYY_tgx_IHuhSq3AJ5eI5OnqOPBNLWSHKh2a30DoXe8/edit?usp=sharing"",""ชุมพร!J20"")"),2)</f>
        <v>2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IFERROR(__xludf.DUMMYFUNCTION("IMPORTRANGE(""https://docs.google.com/spreadsheets/d/1IYY_tgx_IHuhSq3AJ5eI5OnqOPBNLWSHKh2a30DoXe8/edit?usp=sharing"",""ชุมพร!I21"")"),70)</f>
        <v>70</v>
      </c>
      <c r="J81" s="207">
        <f ca="1">IFERROR(__xludf.DUMMYFUNCTION("IMPORTRANGE(""https://docs.google.com/spreadsheets/d/1IYY_tgx_IHuhSq3AJ5eI5OnqOPBNLWSHKh2a30DoXe8/edit?usp=sharing"",""ชุมพร!J21"")"),70)</f>
        <v>70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IFERROR(__xludf.DUMMYFUNCTION("IMPORTRANGE(""https://docs.google.com/spreadsheets/d/1IYY_tgx_IHuhSq3AJ5eI5OnqOPBNLWSHKh2a30DoXe8/edit?usp=sharing"",""ชุมพร!I22"")"),0)</f>
        <v>0</v>
      </c>
      <c r="J82" s="210">
        <f ca="1">IFERROR(__xludf.DUMMYFUNCTION("IMPORTRANGE(""https://docs.google.com/spreadsheets/d/1IYY_tgx_IHuhSq3AJ5eI5OnqOPBNLWSHKh2a30DoXe8/edit?usp=sharing"",""ชุมพร!J22"")"),0)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IFERROR(__xludf.DUMMYFUNCTION("IMPORTRANGE(""https://docs.google.com/spreadsheets/d/1IYY_tgx_IHuhSq3AJ5eI5OnqOPBNLWSHKh2a30DoXe8/edit?usp=sharing"",""ชุมพร!I23"")"),0)</f>
        <v>0</v>
      </c>
      <c r="J83" s="210">
        <f ca="1">IFERROR(__xludf.DUMMYFUNCTION("IMPORTRANGE(""https://docs.google.com/spreadsheets/d/1IYY_tgx_IHuhSq3AJ5eI5OnqOPBNLWSHKh2a30DoXe8/edit?usp=sharing"",""ชุมพร!J23"")"),0)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IFERROR(__xludf.DUMMYFUNCTION("IMPORTRANGE(""https://docs.google.com/spreadsheets/d/1IYY_tgx_IHuhSq3AJ5eI5OnqOPBNLWSHKh2a30DoXe8/edit?usp=sharing"",""ชุมพร!I24"")"),0)</f>
        <v>0</v>
      </c>
      <c r="J84" s="195">
        <f ca="1">IFERROR(__xludf.DUMMYFUNCTION("IMPORTRANGE(""https://docs.google.com/spreadsheets/d/1IYY_tgx_IHuhSq3AJ5eI5OnqOPBNLWSHKh2a30DoXe8/edit?usp=sharing"",""ชุมพร!J24"")"),0)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IFERROR(__xludf.DUMMYFUNCTION("IMPORTRANGE(""https://docs.google.com/spreadsheets/d/1IYY_tgx_IHuhSq3AJ5eI5OnqOPBNLWSHKh2a30DoXe8/edit?usp=sharing"",""ชุมพร!I25"")"),0)</f>
        <v>0</v>
      </c>
      <c r="J85" s="195">
        <f ca="1">IFERROR(__xludf.DUMMYFUNCTION("IMPORTRANGE(""https://docs.google.com/spreadsheets/d/1IYY_tgx_IHuhSq3AJ5eI5OnqOPBNLWSHKh2a30DoXe8/edit?usp=sharing"",""ชุมพร!J25"")"),0)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IFERROR(__xludf.DUMMYFUNCTION("IMPORTRANGE(""https://docs.google.com/spreadsheets/d/1IYY_tgx_IHuhSq3AJ5eI5OnqOPBNLWSHKh2a30DoXe8/edit?usp=sharing"",""ชุมพร!I26"")"),2)</f>
        <v>2</v>
      </c>
      <c r="J86" s="210">
        <f ca="1">IFERROR(__xludf.DUMMYFUNCTION("IMPORTRANGE(""https://docs.google.com/spreadsheets/d/1IYY_tgx_IHuhSq3AJ5eI5OnqOPBNLWSHKh2a30DoXe8/edit?usp=sharing"",""ชุมพร!J26"")"),2)</f>
        <v>2</v>
      </c>
      <c r="K86" s="167">
        <f t="shared" ca="1" si="50"/>
        <v>100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IFERROR(__xludf.DUMMYFUNCTION("IMPORTRANGE(""https://docs.google.com/spreadsheets/d/1IYY_tgx_IHuhSq3AJ5eI5OnqOPBNLWSHKh2a30DoXe8/edit?usp=sharing"",""ชุมพร!I27"")"),70)</f>
        <v>70</v>
      </c>
      <c r="J87" s="210">
        <f ca="1">IFERROR(__xludf.DUMMYFUNCTION("IMPORTRANGE(""https://docs.google.com/spreadsheets/d/1IYY_tgx_IHuhSq3AJ5eI5OnqOPBNLWSHKh2a30DoXe8/edit?usp=sharing"",""ชุมพร!J27"")"),70)</f>
        <v>70</v>
      </c>
      <c r="K87" s="167">
        <f t="shared" ca="1" si="50"/>
        <v>100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IFERROR(__xludf.DUMMYFUNCTION("IMPORTRANGE(""https://docs.google.com/spreadsheets/d/1IYY_tgx_IHuhSq3AJ5eI5OnqOPBNLWSHKh2a30DoXe8/edit?usp=sharing"",""ชุมพร!I28"")"),2)</f>
        <v>2</v>
      </c>
      <c r="J88" s="210">
        <f ca="1">IFERROR(__xludf.DUMMYFUNCTION("IMPORTRANGE(""https://docs.google.com/spreadsheets/d/1IYY_tgx_IHuhSq3AJ5eI5OnqOPBNLWSHKh2a30DoXe8/edit?usp=sharing"",""ชุมพร!J28"")"),0)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IFERROR(__xludf.DUMMYFUNCTION("IMPORTRANGE(""https://docs.google.com/spreadsheets/d/1IYY_tgx_IHuhSq3AJ5eI5OnqOPBNLWSHKh2a30DoXe8/edit?usp=sharing"",""ชุมพร!J29"")"),0)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IFERROR(__xludf.DUMMYFUNCTION("IMPORTRANGE(""https://docs.google.com/spreadsheets/d/1IYY_tgx_IHuhSq3AJ5eI5OnqOPBNLWSHKh2a30DoXe8/edit?usp=sharing"",""ชุมพร!J30"")"),0)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136696</v>
      </c>
      <c r="O94" s="155">
        <f t="shared" ref="O94:O96" ca="1" si="53">IF(L94&gt;0,N94*100/L94,0)</f>
        <v>63.727738927738926</v>
      </c>
      <c r="P94" s="155">
        <f t="shared" ref="P94:P96" ca="1" si="54">IF(M94&gt;0,N94*100/M94,0)</f>
        <v>63.727738927738926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136696</v>
      </c>
      <c r="O96" s="160">
        <f t="shared" ca="1" si="53"/>
        <v>63.727738927738926</v>
      </c>
      <c r="P96" s="160">
        <f t="shared" ca="1" si="54"/>
        <v>63.727738927738926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IFERROR(__xludf.DUMMYFUNCTION("IMPORTRANGE(""https://docs.google.com/spreadsheets/d/1Yj_ptqi66GCucihVvJfMjLAmec39IyEx_6qawtMGysU/edit?usp=sharing"",""สบก!AR82"")"),122100)</f>
        <v>122100</v>
      </c>
      <c r="N98" s="174">
        <f ca="1">IFERROR(__xludf.DUMMYFUNCTION("IMPORTRANGE(""https://docs.google.com/spreadsheets/d/1Yj_ptqi66GCucihVvJfMjLAmec39IyEx_6qawtMGysU/edit?usp=sharing"",""สบก!AS82"")"),44296)</f>
        <v>44296</v>
      </c>
      <c r="O98" s="175">
        <f ca="1">IF(L98&gt;0,N98*100/L98,0)</f>
        <v>36.27846027846028</v>
      </c>
      <c r="P98" s="175">
        <f ca="1">IF(M98&gt;0,N98*100/M98,0)</f>
        <v>36.27846027846028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IFERROR(__xludf.DUMMYFUNCTION("IMPORTRANGE(""https://docs.google.com/spreadsheets/d/1Yj_ptqi66GCucihVvJfMjLAmec39IyEx_6qawtMGysU/edit?usp=sharing"",""สบก!AN82"")"),0)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IFERROR(__xludf.DUMMYFUNCTION("IMPORTRANGE(""https://docs.google.com/spreadsheets/d/1Yj_ptqi66GCucihVvJfMjLAmec39IyEx_6qawtMGysU/edit?usp=sharing"",""สบก!AO82"")"),122100)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IFERROR(__xludf.DUMMYFUNCTION("IMPORTRANGE(""https://docs.google.com/spreadsheets/d/1IYY_tgx_IHuhSq3AJ5eI5OnqOPBNLWSHKh2a30DoXe8/edit?usp=sharing"",""ชุมพร!J39"")"),0)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IFERROR(__xludf.DUMMYFUNCTION("IMPORTRANGE(""https://docs.google.com/spreadsheets/d/1IYY_tgx_IHuhSq3AJ5eI5OnqOPBNLWSHKh2a30DoXe8/edit?usp=sharing"",""ชุมพร!J40"")"),1)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IFERROR(__xludf.DUMMYFUNCTION("IMPORTRANGE(""https://docs.google.com/spreadsheets/d/1IYY_tgx_IHuhSq3AJ5eI5OnqOPBNLWSHKh2a30DoXe8/edit?usp=sharing"",""ชุมพร!J41"")"),1)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IFERROR(__xludf.DUMMYFUNCTION("IMPORTRANGE(""https://docs.google.com/spreadsheets/d/1IYY_tgx_IHuhSq3AJ5eI5OnqOPBNLWSHKh2a30DoXe8/edit?usp=sharing"",""ชุมพร!J42"")"),1)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IFERROR(__xludf.DUMMYFUNCTION("IMPORTRANGE(""https://docs.google.com/spreadsheets/d/1IYY_tgx_IHuhSq3AJ5eI5OnqOPBNLWSHKh2a30DoXe8/edit?usp=sharing"",""ชุมพร!I43"")"),1)</f>
        <v>1</v>
      </c>
      <c r="J108" s="210">
        <f ca="1">IFERROR(__xludf.DUMMYFUNCTION("IMPORTRANGE(""https://docs.google.com/spreadsheets/d/1IYY_tgx_IHuhSq3AJ5eI5OnqOPBNLWSHKh2a30DoXe8/edit?usp=sharing"",""ชุมพร!J43"")"),1)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IFERROR(__xludf.DUMMYFUNCTION("IMPORTRANGE(""https://docs.google.com/spreadsheets/d/1IYY_tgx_IHuhSq3AJ5eI5OnqOPBNLWSHKh2a30DoXe8/edit?usp=sharing"",""ชุมพร!I44"")"),4)</f>
        <v>4</v>
      </c>
      <c r="J109" s="210">
        <f ca="1">IFERROR(__xludf.DUMMYFUNCTION("IMPORTRANGE(""https://docs.google.com/spreadsheets/d/1IYY_tgx_IHuhSq3AJ5eI5OnqOPBNLWSHKh2a30DoXe8/edit?usp=sharing"",""ชุมพร!J44"")"),4)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IFERROR(__xludf.DUMMYFUNCTION("IMPORTRANGE(""https://docs.google.com/spreadsheets/d/1IYY_tgx_IHuhSq3AJ5eI5OnqOPBNLWSHKh2a30DoXe8/edit?usp=sharing"",""ชุมพร!I45"")"),4)</f>
        <v>4</v>
      </c>
      <c r="J110" s="210">
        <f ca="1">IFERROR(__xludf.DUMMYFUNCTION("IMPORTRANGE(""https://docs.google.com/spreadsheets/d/1IYY_tgx_IHuhSq3AJ5eI5OnqOPBNLWSHKh2a30DoXe8/edit?usp=sharing"",""ชุมพร!J45"")"),4)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IFERROR(__xludf.DUMMYFUNCTION("IMPORTRANGE(""https://docs.google.com/spreadsheets/d/1IYY_tgx_IHuhSq3AJ5eI5OnqOPBNLWSHKh2a30DoXe8/edit?usp=sharing"",""ชุมพร!I46"")"),4)</f>
        <v>4</v>
      </c>
      <c r="J111" s="210">
        <f ca="1">IFERROR(__xludf.DUMMYFUNCTION("IMPORTRANGE(""https://docs.google.com/spreadsheets/d/1IYY_tgx_IHuhSq3AJ5eI5OnqOPBNLWSHKh2a30DoXe8/edit?usp=sharing"",""ชุมพร!J46"")"),4)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IFERROR(__xludf.DUMMYFUNCTION("IMPORTRANGE(""https://docs.google.com/spreadsheets/d/1IYY_tgx_IHuhSq3AJ5eI5OnqOPBNLWSHKh2a30DoXe8/edit?usp=sharing"",""ชุมพร!I47"")"),4)</f>
        <v>4</v>
      </c>
      <c r="J112" s="210">
        <f ca="1">IFERROR(__xludf.DUMMYFUNCTION("IMPORTRANGE(""https://docs.google.com/spreadsheets/d/1IYY_tgx_IHuhSq3AJ5eI5OnqOPBNLWSHKh2a30DoXe8/edit?usp=sharing"",""ชุมพร!J47"")"),4)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IFERROR(__xludf.DUMMYFUNCTION("IMPORTRANGE(""https://docs.google.com/spreadsheets/d/1IYY_tgx_IHuhSq3AJ5eI5OnqOPBNLWSHKh2a30DoXe8/edit?usp=sharing"",""ชุมพร!I48"")"),1)</f>
        <v>1</v>
      </c>
      <c r="J113" s="210">
        <f ca="1">IFERROR(__xludf.DUMMYFUNCTION("IMPORTRANGE(""https://docs.google.com/spreadsheets/d/1IYY_tgx_IHuhSq3AJ5eI5OnqOPBNLWSHKh2a30DoXe8/edit?usp=sharing"",""ชุมพร!J48"")"),1)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IFERROR(__xludf.DUMMYFUNCTION("IMPORTRANGE(""https://docs.google.com/spreadsheets/d/1IYY_tgx_IHuhSq3AJ5eI5OnqOPBNLWSHKh2a30DoXe8/edit?usp=sharing"",""ชุมพร!J49"")"),0)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IFERROR(__xludf.DUMMYFUNCTION("IMPORTRANGE(""https://docs.google.com/spreadsheets/d/1IYY_tgx_IHuhSq3AJ5eI5OnqOPBNLWSHKh2a30DoXe8/edit?usp=sharing"",""ชุมพร!J50"")"),0)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73258</v>
      </c>
      <c r="N118" s="156">
        <f t="shared" ca="1" si="58"/>
        <v>46900</v>
      </c>
      <c r="O118" s="155">
        <f t="shared" ref="O118:O120" ca="1" si="59">IF(L118&gt;0,N118*100/L118,0)</f>
        <v>72.276159654800438</v>
      </c>
      <c r="P118" s="155">
        <f t="shared" ref="P118:P120" ca="1" si="60">IF(M118&gt;0,N118*100/M118,0)</f>
        <v>64.020311774823227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73258</v>
      </c>
      <c r="N120" s="161">
        <f t="shared" ca="1" si="62"/>
        <v>46900</v>
      </c>
      <c r="O120" s="160">
        <f t="shared" ca="1" si="59"/>
        <v>72.276159654800438</v>
      </c>
      <c r="P120" s="160">
        <f t="shared" ca="1" si="60"/>
        <v>64.020311774823227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IFERROR(__xludf.DUMMYFUNCTION("IMPORTRANGE(""https://docs.google.com/spreadsheets/d/1Yj_ptqi66GCucihVvJfMjLAmec39IyEx_6qawtMGysU/edit?usp=sharing"",""สบก!BA82"")"),73258)</f>
        <v>73258</v>
      </c>
      <c r="N122" s="174">
        <f ca="1">IFERROR(__xludf.DUMMYFUNCTION("IMPORTRANGE(""https://docs.google.com/spreadsheets/d/1Yj_ptqi66GCucihVvJfMjLAmec39IyEx_6qawtMGysU/edit?usp=sharing"",""สบก!BB82"")"),46900)</f>
        <v>46900</v>
      </c>
      <c r="O122" s="175">
        <f ca="1">IF(L122&gt;0,N122*100/L122,0)</f>
        <v>72.276159654800438</v>
      </c>
      <c r="P122" s="175">
        <f ca="1">IF(M122&gt;0,N122*100/M122,0)</f>
        <v>64.020311774823227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IFERROR(__xludf.DUMMYFUNCTION("IMPORTRANGE(""https://docs.google.com/spreadsheets/d/1Yj_ptqi66GCucihVvJfMjLAmec39IyEx_6qawtMGysU/edit?usp=sharing"",""สบก!AW82"")"),0)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IFERROR(__xludf.DUMMYFUNCTION("IMPORTRANGE(""https://docs.google.com/spreadsheets/d/1Yj_ptqi66GCucihVvJfMjLAmec39IyEx_6qawtMGysU/edit?usp=sharing"",""สบก!AX82"")"),64890)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IFERROR(__xludf.DUMMYFUNCTION("IMPORTRANGE(""https://docs.google.com/spreadsheets/d/1IYY_tgx_IHuhSq3AJ5eI5OnqOPBNLWSHKh2a30DoXe8/edit?usp=sharing"",""ชุมพร!J58"")"),0)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IFERROR(__xludf.DUMMYFUNCTION("IMPORTRANGE(""https://docs.google.com/spreadsheets/d/1IYY_tgx_IHuhSq3AJ5eI5OnqOPBNLWSHKh2a30DoXe8/edit?usp=sharing"",""ชุมพร!J59"")"),1)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IFERROR(__xludf.DUMMYFUNCTION("IMPORTRANGE(""https://docs.google.com/spreadsheets/d/1IYY_tgx_IHuhSq3AJ5eI5OnqOPBNLWSHKh2a30DoXe8/edit?usp=sharing"",""ชุมพร!J60"")"),1)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IFERROR(__xludf.DUMMYFUNCTION("IMPORTRANGE(""https://docs.google.com/spreadsheets/d/1IYY_tgx_IHuhSq3AJ5eI5OnqOPBNLWSHKh2a30DoXe8/edit?usp=sharing"",""ชุมพร!J61"")"),1)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IFERROR(__xludf.DUMMYFUNCTION("IMPORTRANGE(""https://docs.google.com/spreadsheets/d/1IYY_tgx_IHuhSq3AJ5eI5OnqOPBNLWSHKh2a30DoXe8/edit?usp=sharing"",""ชุมพร!I62"")"),15)</f>
        <v>15</v>
      </c>
      <c r="J132" s="210">
        <f ca="1">IFERROR(__xludf.DUMMYFUNCTION("IMPORTRANGE(""https://docs.google.com/spreadsheets/d/1IYY_tgx_IHuhSq3AJ5eI5OnqOPBNLWSHKh2a30DoXe8/edit?usp=sharing"",""ชุมพร!J62"")"),15)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IFERROR(__xludf.DUMMYFUNCTION("IMPORTRANGE(""https://docs.google.com/spreadsheets/d/1IYY_tgx_IHuhSq3AJ5eI5OnqOPBNLWSHKh2a30DoXe8/edit?usp=sharing"",""ชุมพร!I63"")"),15)</f>
        <v>15</v>
      </c>
      <c r="J133" s="210">
        <f ca="1">IFERROR(__xludf.DUMMYFUNCTION("IMPORTRANGE(""https://docs.google.com/spreadsheets/d/1IYY_tgx_IHuhSq3AJ5eI5OnqOPBNLWSHKh2a30DoXe8/edit?usp=sharing"",""ชุมพร!J63"")"),15)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IFERROR(__xludf.DUMMYFUNCTION("IMPORTRANGE(""https://docs.google.com/spreadsheets/d/1IYY_tgx_IHuhSq3AJ5eI5OnqOPBNLWSHKh2a30DoXe8/edit?usp=sharing"",""ชุมพร!J64"")"),0)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IFERROR(__xludf.DUMMYFUNCTION("IMPORTRANGE(""https://docs.google.com/spreadsheets/d/1IYY_tgx_IHuhSq3AJ5eI5OnqOPBNLWSHKh2a30DoXe8/edit?usp=sharing"",""ชุมพร!J65"")"),0)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IFERROR(__xludf.DUMMYFUNCTION("IMPORTRANGE(""https://docs.google.com/spreadsheets/d/1IYY_tgx_IHuhSq3AJ5eI5OnqOPBNLWSHKh2a30DoXe8/edit?usp=sharing"",""ชุมพร!I68"")"),15)</f>
        <v>15</v>
      </c>
      <c r="J138" s="273">
        <f ca="1">IFERROR(__xludf.DUMMYFUNCTION("IMPORTRANGE(""https://docs.google.com/spreadsheets/d/1IYY_tgx_IHuhSq3AJ5eI5OnqOPBNLWSHKh2a30DoXe8/edit?usp=sharing"",""ชุมพร!J68"")"),15)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206500</v>
      </c>
      <c r="M140" s="156">
        <f t="shared" ca="1" si="64"/>
        <v>206500</v>
      </c>
      <c r="N140" s="156">
        <f t="shared" ca="1" si="64"/>
        <v>152625</v>
      </c>
      <c r="O140" s="155">
        <f t="shared" ref="O140:O142" ca="1" si="65">IF(L140&gt;0,N140*100/L140,0)</f>
        <v>73.91041162227603</v>
      </c>
      <c r="P140" s="155">
        <f t="shared" ref="P140:P142" ca="1" si="66">IF(M140&gt;0,N140*100/M140,0)</f>
        <v>73.91041162227603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206500</v>
      </c>
      <c r="M142" s="161">
        <f t="shared" ca="1" si="68"/>
        <v>206500</v>
      </c>
      <c r="N142" s="161">
        <f t="shared" ca="1" si="68"/>
        <v>152625</v>
      </c>
      <c r="O142" s="160">
        <f t="shared" ca="1" si="65"/>
        <v>73.91041162227603</v>
      </c>
      <c r="P142" s="160">
        <f t="shared" ca="1" si="66"/>
        <v>73.91041162227603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206500</v>
      </c>
      <c r="M144" s="173">
        <f ca="1">IFERROR(__xludf.DUMMYFUNCTION("IMPORTRANGE(""https://docs.google.com/spreadsheets/d/1Yj_ptqi66GCucihVvJfMjLAmec39IyEx_6qawtMGysU/edit?usp=sharing"",""สบก!BJ82"")"),206500)</f>
        <v>206500</v>
      </c>
      <c r="N144" s="174">
        <f ca="1">IFERROR(__xludf.DUMMYFUNCTION("IMPORTRANGE(""https://docs.google.com/spreadsheets/d/1Yj_ptqi66GCucihVvJfMjLAmec39IyEx_6qawtMGysU/edit?usp=sharing"",""สบก!BK82"")"),152625)</f>
        <v>152625</v>
      </c>
      <c r="O144" s="175">
        <f ca="1">IF(L144&gt;0,N144*100/L144,0)</f>
        <v>73.91041162227603</v>
      </c>
      <c r="P144" s="175">
        <f ca="1">IF(M144&gt;0,N144*100/M144,0)</f>
        <v>73.91041162227603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IFERROR(__xludf.DUMMYFUNCTION("IMPORTRANGE(""https://docs.google.com/spreadsheets/d/1Yj_ptqi66GCucihVvJfMjLAmec39IyEx_6qawtMGysU/edit?usp=sharing"",""สบก!BF82"")"),132000)</f>
        <v>132000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IFERROR(__xludf.DUMMYFUNCTION("IMPORTRANGE(""https://docs.google.com/spreadsheets/d/1Yj_ptqi66GCucihVvJfMjLAmec39IyEx_6qawtMGysU/edit?usp=sharing"",""สบก!BG82"")"),74500)</f>
        <v>74500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IFERROR(__xludf.DUMMYFUNCTION("IMPORTRANGE(""https://docs.google.com/spreadsheets/d/1IYY_tgx_IHuhSq3AJ5eI5OnqOPBNLWSHKh2a30DoXe8/edit?usp=sharing"",""ชุมพร!I74"")"),4)</f>
        <v>4</v>
      </c>
      <c r="J149" s="281">
        <f ca="1">IFERROR(__xludf.DUMMYFUNCTION("IMPORTRANGE(""https://docs.google.com/spreadsheets/d/1IYY_tgx_IHuhSq3AJ5eI5OnqOPBNLWSHKh2a30DoXe8/edit?usp=sharing"",""ชุมพร!J74"")"),3)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IFERROR(__xludf.DUMMYFUNCTION("IMPORTRANGE(""https://docs.google.com/spreadsheets/d/1IYY_tgx_IHuhSq3AJ5eI5OnqOPBNLWSHKh2a30DoXe8/edit?usp=sharing"",""ชุมพร!J79"")"),0)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IFERROR(__xludf.DUMMYFUNCTION("IMPORTRANGE(""https://docs.google.com/spreadsheets/d/1IYY_tgx_IHuhSq3AJ5eI5OnqOPBNLWSHKh2a30DoXe8/edit?usp=sharing"",""ชุมพร!J80"")"),1)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IFERROR(__xludf.DUMMYFUNCTION("IMPORTRANGE(""https://docs.google.com/spreadsheets/d/1IYY_tgx_IHuhSq3AJ5eI5OnqOPBNLWSHKh2a30DoXe8/edit?usp=sharing"",""ชุมพร!J81"")"),1)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IFERROR(__xludf.DUMMYFUNCTION("IMPORTRANGE(""https://docs.google.com/spreadsheets/d/1IYY_tgx_IHuhSq3AJ5eI5OnqOPBNLWSHKh2a30DoXe8/edit?usp=sharing"",""ชุมพร!J82"")"),1)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IFERROR(__xludf.DUMMYFUNCTION("IMPORTRANGE(""https://docs.google.com/spreadsheets/d/1IYY_tgx_IHuhSq3AJ5eI5OnqOPBNLWSHKh2a30DoXe8/edit?usp=sharing"",""ชุมพร!I83"")"),4)</f>
        <v>4</v>
      </c>
      <c r="J158" s="195">
        <f ca="1">IFERROR(__xludf.DUMMYFUNCTION("IMPORTRANGE(""https://docs.google.com/spreadsheets/d/1IYY_tgx_IHuhSq3AJ5eI5OnqOPBNLWSHKh2a30DoXe8/edit?usp=sharing"",""ชุมพร!J83"")"),3)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IFERROR(__xludf.DUMMYFUNCTION("IMPORTRANGE(""https://docs.google.com/spreadsheets/d/1IYY_tgx_IHuhSq3AJ5eI5OnqOPBNLWSHKh2a30DoXe8/edit?usp=sharing"",""ชุมพร!J84"")"),120)</f>
        <v>120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IFERROR(__xludf.DUMMYFUNCTION("IMPORTRANGE(""https://docs.google.com/spreadsheets/d/1IYY_tgx_IHuhSq3AJ5eI5OnqOPBNLWSHKh2a30DoXe8/edit?usp=sharing"",""ชุมพร!J85"")"),120)</f>
        <v>120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IFERROR(__xludf.DUMMYFUNCTION("IMPORTRANGE(""https://docs.google.com/spreadsheets/d/1IYY_tgx_IHuhSq3AJ5eI5OnqOPBNLWSHKh2a30DoXe8/edit?usp=sharing"",""ชุมพร!J86"")"),0)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IFERROR(__xludf.DUMMYFUNCTION("IMPORTRANGE(""https://docs.google.com/spreadsheets/d/1IYY_tgx_IHuhSq3AJ5eI5OnqOPBNLWSHKh2a30DoXe8/edit?usp=sharing"",""ชุมพร!J87"")"),0)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IFERROR(__xludf.DUMMYFUNCTION("IMPORTRANGE(""https://docs.google.com/spreadsheets/d/1IYY_tgx_IHuhSq3AJ5eI5OnqOPBNLWSHKh2a30DoXe8/edit?usp=sharing"",""ชุมพร!J88"")"),0)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IFERROR(__xludf.DUMMYFUNCTION("IMPORTRANGE(""https://docs.google.com/spreadsheets/d/1IYY_tgx_IHuhSq3AJ5eI5OnqOPBNLWSHKh2a30DoXe8/edit?usp=sharing"",""ชุมพร!J94"")"),0)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IFERROR(__xludf.DUMMYFUNCTION("IMPORTRANGE(""https://docs.google.com/spreadsheets/d/1IYY_tgx_IHuhSq3AJ5eI5OnqOPBNLWSHKh2a30DoXe8/edit?usp=sharing"",""ชุมพร!J95"")"),1)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IFERROR(__xludf.DUMMYFUNCTION("IMPORTRANGE(""https://docs.google.com/spreadsheets/d/1IYY_tgx_IHuhSq3AJ5eI5OnqOPBNLWSHKh2a30DoXe8/edit?usp=sharing"",""ชุมพร!J96"")"),1)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IFERROR(__xludf.DUMMYFUNCTION("IMPORTRANGE(""https://docs.google.com/spreadsheets/d/1IYY_tgx_IHuhSq3AJ5eI5OnqOPBNLWSHKh2a30DoXe8/edit?usp=sharing"",""ชุมพร!J97"")"),1)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IFERROR(__xludf.DUMMYFUNCTION("IMPORTRANGE(""https://docs.google.com/spreadsheets/d/1IYY_tgx_IHuhSq3AJ5eI5OnqOPBNLWSHKh2a30DoXe8/edit?usp=sharing"",""ชุมพร!I98"")"),2)</f>
        <v>2</v>
      </c>
      <c r="J173" s="195">
        <f ca="1">IFERROR(__xludf.DUMMYFUNCTION("IMPORTRANGE(""https://docs.google.com/spreadsheets/d/1IYY_tgx_IHuhSq3AJ5eI5OnqOPBNLWSHKh2a30DoXe8/edit?usp=sharing"",""ชุมพร!J98"")"),2)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IFERROR(__xludf.DUMMYFUNCTION("IMPORTRANGE(""https://docs.google.com/spreadsheets/d/1IYY_tgx_IHuhSq3AJ5eI5OnqOPBNLWSHKh2a30DoXe8/edit?usp=sharing"",""ชุมพร!J99"")"),0)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IFERROR(__xludf.DUMMYFUNCTION("IMPORTRANGE(""https://docs.google.com/spreadsheets/d/1IYY_tgx_IHuhSq3AJ5eI5OnqOPBNLWSHKh2a30DoXe8/edit?usp=sharing"",""ชุมพร!J100"")"),0)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IFERROR(__xludf.DUMMYFUNCTION("IMPORTRANGE(""https://docs.google.com/spreadsheets/d/1IYY_tgx_IHuhSq3AJ5eI5OnqOPBNLWSHKh2a30DoXe8/edit?usp=sharing"",""ชุมพร!J106"")"),0)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IFERROR(__xludf.DUMMYFUNCTION("IMPORTRANGE(""https://docs.google.com/spreadsheets/d/1IYY_tgx_IHuhSq3AJ5eI5OnqOPBNLWSHKh2a30DoXe8/edit?usp=sharing"",""ชุมพร!J107"")"),1)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IFERROR(__xludf.DUMMYFUNCTION("IMPORTRANGE(""https://docs.google.com/spreadsheets/d/1IYY_tgx_IHuhSq3AJ5eI5OnqOPBNLWSHKh2a30DoXe8/edit?usp=sharing"",""ชุมพร!J108"")"),1)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IFERROR(__xludf.DUMMYFUNCTION("IMPORTRANGE(""https://docs.google.com/spreadsheets/d/1IYY_tgx_IHuhSq3AJ5eI5OnqOPBNLWSHKh2a30DoXe8/edit?usp=sharing"",""ชุมพร!J109"")"),1)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IFERROR(__xludf.DUMMYFUNCTION("IMPORTRANGE(""https://docs.google.com/spreadsheets/d/1IYY_tgx_IHuhSq3AJ5eI5OnqOPBNLWSHKh2a30DoXe8/edit?usp=sharing"",""ชุมพร!I110"")"),1)</f>
        <v>1</v>
      </c>
      <c r="J185" s="210">
        <f ca="1">IFERROR(__xludf.DUMMYFUNCTION("IMPORTRANGE(""https://docs.google.com/spreadsheets/d/1IYY_tgx_IHuhSq3AJ5eI5OnqOPBNLWSHKh2a30DoXe8/edit?usp=sharing"",""ชุมพร!J110"")"),1)</f>
        <v>1</v>
      </c>
      <c r="K185" s="230">
        <f t="shared" ref="K185:K186" ca="1" si="69">IF(I185&gt;0,J185*100/I185,0)</f>
        <v>100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IFERROR(__xludf.DUMMYFUNCTION("IMPORTRANGE(""https://docs.google.com/spreadsheets/d/1IYY_tgx_IHuhSq3AJ5eI5OnqOPBNLWSHKh2a30DoXe8/edit?usp=sharing"",""ชุมพร!I111"")"),1)</f>
        <v>1</v>
      </c>
      <c r="J186" s="210">
        <f ca="1">IFERROR(__xludf.DUMMYFUNCTION("IMPORTRANGE(""https://docs.google.com/spreadsheets/d/1IYY_tgx_IHuhSq3AJ5eI5OnqOPBNLWSHKh2a30DoXe8/edit?usp=sharing"",""ชุมพร!J111"")"),1)</f>
        <v>1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IFERROR(__xludf.DUMMYFUNCTION("IMPORTRANGE(""https://docs.google.com/spreadsheets/d/1IYY_tgx_IHuhSq3AJ5eI5OnqOPBNLWSHKh2a30DoXe8/edit?usp=sharing"",""ชุมพร!J112"")"),0)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IFERROR(__xludf.DUMMYFUNCTION("IMPORTRANGE(""https://docs.google.com/spreadsheets/d/1IYY_tgx_IHuhSq3AJ5eI5OnqOPBNLWSHKh2a30DoXe8/edit?usp=sharing"",""ชุมพร!J113"")"),0)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IFERROR(__xludf.DUMMYFUNCTION("IMPORTRANGE(""https://docs.google.com/spreadsheets/d/1IYY_tgx_IHuhSq3AJ5eI5OnqOPBNLWSHKh2a30DoXe8/edit?usp=sharing"",""ชุมพร!J114"")"),30000)</f>
        <v>30000</v>
      </c>
      <c r="K189" s="291">
        <f ca="1">IF(I189&gt;0,J189*100/I189,0)</f>
        <v>150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IFERROR(__xludf.DUMMYFUNCTION("IMPORTRANGE(""https://docs.google.com/spreadsheets/d/1IYY_tgx_IHuhSq3AJ5eI5OnqOPBNLWSHKh2a30DoXe8/edit?usp=sharing"",""ชุมพร!J119"")"),0)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IFERROR(__xludf.DUMMYFUNCTION("IMPORTRANGE(""https://docs.google.com/spreadsheets/d/1IYY_tgx_IHuhSq3AJ5eI5OnqOPBNLWSHKh2a30DoXe8/edit?usp=sharing"",""ชุมพร!J120"")"),1)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IFERROR(__xludf.DUMMYFUNCTION("IMPORTRANGE(""https://docs.google.com/spreadsheets/d/1IYY_tgx_IHuhSq3AJ5eI5OnqOPBNLWSHKh2a30DoXe8/edit?usp=sharing"",""ชุมพร!J121"")"),1)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IFERROR(__xludf.DUMMYFUNCTION("IMPORTRANGE(""https://docs.google.com/spreadsheets/d/1IYY_tgx_IHuhSq3AJ5eI5OnqOPBNLWSHKh2a30DoXe8/edit?usp=sharing"",""ชุมพร!J122"")"),1)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IFERROR(__xludf.DUMMYFUNCTION("IMPORTRANGE(""https://docs.google.com/spreadsheets/d/1IYY_tgx_IHuhSq3AJ5eI5OnqOPBNLWSHKh2a30DoXe8/edit?usp=sharing"",""ชุมพร!I124"")"),20000)</f>
        <v>20000</v>
      </c>
      <c r="J199" s="195">
        <f ca="1">IFERROR(__xludf.DUMMYFUNCTION("IMPORTRANGE(""https://docs.google.com/spreadsheets/d/1IYY_tgx_IHuhSq3AJ5eI5OnqOPBNLWSHKh2a30DoXe8/edit?usp=sharing"",""ชุมพร!J124"")"),30000)</f>
        <v>30000</v>
      </c>
      <c r="K199" s="167">
        <f t="shared" ref="K199:K201" ca="1" si="70">IF(I199&gt;0,J199*100/I199,0)</f>
        <v>150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IFERROR(__xludf.DUMMYFUNCTION("IMPORTRANGE(""https://docs.google.com/spreadsheets/d/1IYY_tgx_IHuhSq3AJ5eI5OnqOPBNLWSHKh2a30DoXe8/edit?usp=sharing"",""ชุมพร!I125"")"),20000)</f>
        <v>20000</v>
      </c>
      <c r="J200" s="195">
        <f ca="1">IFERROR(__xludf.DUMMYFUNCTION("IMPORTRANGE(""https://docs.google.com/spreadsheets/d/1IYY_tgx_IHuhSq3AJ5eI5OnqOPBNLWSHKh2a30DoXe8/edit?usp=sharing"",""ชุมพร!J125"")"),30000)</f>
        <v>30000</v>
      </c>
      <c r="K200" s="167">
        <f t="shared" ca="1" si="70"/>
        <v>150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IFERROR(__xludf.DUMMYFUNCTION("IMPORTRANGE(""https://docs.google.com/spreadsheets/d/1IYY_tgx_IHuhSq3AJ5eI5OnqOPBNLWSHKh2a30DoXe8/edit?usp=sharing"",""ชุมพร!I126"")"),15)</f>
        <v>15</v>
      </c>
      <c r="J201" s="195">
        <f ca="1">IFERROR(__xludf.DUMMYFUNCTION("IMPORTRANGE(""https://docs.google.com/spreadsheets/d/1IYY_tgx_IHuhSq3AJ5eI5OnqOPBNLWSHKh2a30DoXe8/edit?usp=sharing"",""ชุมพร!J126"")"),15)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IFERROR(__xludf.DUMMYFUNCTION("IMPORTRANGE(""https://docs.google.com/spreadsheets/d/1IYY_tgx_IHuhSq3AJ5eI5OnqOPBNLWSHKh2a30DoXe8/edit?usp=sharing"",""ชุมพร!J127"")"),0)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IFERROR(__xludf.DUMMYFUNCTION("IMPORTRANGE(""https://docs.google.com/spreadsheets/d/1IYY_tgx_IHuhSq3AJ5eI5OnqOPBNLWSHKh2a30DoXe8/edit?usp=sharing"",""ชุมพร!J128"")"),0)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IFERROR(__xludf.DUMMYFUNCTION("IMPORTRANGE(""https://docs.google.com/spreadsheets/d/1IYY_tgx_IHuhSq3AJ5eI5OnqOPBNLWSHKh2a30DoXe8/edit?usp=sharing"",""ชุมพร!J134"")"),0)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IFERROR(__xludf.DUMMYFUNCTION("IMPORTRANGE(""https://docs.google.com/spreadsheets/d/1IYY_tgx_IHuhSq3AJ5eI5OnqOPBNLWSHKh2a30DoXe8/edit?usp=sharing"",""ชุมพร!J135"")"),0)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IFERROR(__xludf.DUMMYFUNCTION("IMPORTRANGE(""https://docs.google.com/spreadsheets/d/1IYY_tgx_IHuhSq3AJ5eI5OnqOPBNLWSHKh2a30DoXe8/edit?usp=sharing"",""ชุมพร!J136"")"),0)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IFERROR(__xludf.DUMMYFUNCTION("IMPORTRANGE(""https://docs.google.com/spreadsheets/d/1IYY_tgx_IHuhSq3AJ5eI5OnqOPBNLWSHKh2a30DoXe8/edit?usp=sharing"",""ชุมพร!J137"")"),0)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IFERROR(__xludf.DUMMYFUNCTION("IMPORTRANGE(""https://docs.google.com/spreadsheets/d/1IYY_tgx_IHuhSq3AJ5eI5OnqOPBNLWSHKh2a30DoXe8/edit?usp=sharing"",""ชุมพร!I138"")"),0)</f>
        <v>0</v>
      </c>
      <c r="J213" s="210">
        <f ca="1">IFERROR(__xludf.DUMMYFUNCTION("IMPORTRANGE(""https://docs.google.com/spreadsheets/d/1IYY_tgx_IHuhSq3AJ5eI5OnqOPBNLWSHKh2a30DoXe8/edit?usp=sharing"",""ชุมพร!J138"")"),0)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IFERROR(__xludf.DUMMYFUNCTION("IMPORTRANGE(""https://docs.google.com/spreadsheets/d/1IYY_tgx_IHuhSq3AJ5eI5OnqOPBNLWSHKh2a30DoXe8/edit?usp=sharing"",""ชุมพร!I140"")"),0)</f>
        <v>0</v>
      </c>
      <c r="J215" s="210">
        <f ca="1">IFERROR(__xludf.DUMMYFUNCTION("IMPORTRANGE(""https://docs.google.com/spreadsheets/d/1IYY_tgx_IHuhSq3AJ5eI5OnqOPBNLWSHKh2a30DoXe8/edit?usp=sharing"",""ชุมพร!J140"")"),0)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IFERROR(__xludf.DUMMYFUNCTION("IMPORTRANGE(""https://docs.google.com/spreadsheets/d/1IYY_tgx_IHuhSq3AJ5eI5OnqOPBNLWSHKh2a30DoXe8/edit?usp=sharing"",""ชุมพร!I141"")"),0)</f>
        <v>0</v>
      </c>
      <c r="J216" s="210">
        <f ca="1">IFERROR(__xludf.DUMMYFUNCTION("IMPORTRANGE(""https://docs.google.com/spreadsheets/d/1IYY_tgx_IHuhSq3AJ5eI5OnqOPBNLWSHKh2a30DoXe8/edit?usp=sharing"",""ชุมพร!J141"")"),0)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IFERROR(__xludf.DUMMYFUNCTION("IMPORTRANGE(""https://docs.google.com/spreadsheets/d/1IYY_tgx_IHuhSq3AJ5eI5OnqOPBNLWSHKh2a30DoXe8/edit?usp=sharing"",""ชุมพร!J142"")"),0)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IFERROR(__xludf.DUMMYFUNCTION("IMPORTRANGE(""https://docs.google.com/spreadsheets/d/1IYY_tgx_IHuhSq3AJ5eI5OnqOPBNLWSHKh2a30DoXe8/edit?usp=sharing"",""ชุมพร!J143"")"),0)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IFERROR(__xludf.DUMMYFUNCTION("IMPORTRANGE(""https://docs.google.com/spreadsheets/d/1IYY_tgx_IHuhSq3AJ5eI5OnqOPBNLWSHKh2a30DoXe8/edit?usp=sharing"",""ชุมพร!I144"")"),0)</f>
        <v>0</v>
      </c>
      <c r="J219" s="273">
        <f ca="1">IFERROR(__xludf.DUMMYFUNCTION("IMPORTRANGE(""https://docs.google.com/spreadsheets/d/1IYY_tgx_IHuhSq3AJ5eI5OnqOPBNLWSHKh2a30DoXe8/edit?usp=sharing"",""ชุมพร!J144"")"),0)</f>
        <v>0</v>
      </c>
      <c r="K219" s="274">
        <f ca="1">IF(I219&gt;0,J219*100/I219,0)</f>
        <v>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0</v>
      </c>
      <c r="M224" s="173">
        <f ca="1">IFERROR(__xludf.DUMMYFUNCTION("IMPORTRANGE(""https://docs.google.com/spreadsheets/d/1Yj_ptqi66GCucihVvJfMjLAmec39IyEx_6qawtMGysU/edit?usp=sharing"",""สบก!BS82"")"),0)</f>
        <v>0</v>
      </c>
      <c r="N224" s="174">
        <f ca="1">IFERROR(__xludf.DUMMYFUNCTION("IMPORTRANGE(""https://docs.google.com/spreadsheets/d/1Yj_ptqi66GCucihVvJfMjLAmec39IyEx_6qawtMGysU/edit?usp=sharing"",""สบก!BT82"")"),0)</f>
        <v>0</v>
      </c>
      <c r="O224" s="175">
        <f ca="1">IF(L224&gt;0,N224*100/L224,0)</f>
        <v>0</v>
      </c>
      <c r="P224" s="175">
        <f ca="1">IF(M224&gt;0,N224*100/M224,0)</f>
        <v>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IFERROR(__xludf.DUMMYFUNCTION("IMPORTRANGE(""https://docs.google.com/spreadsheets/d/1Yj_ptqi66GCucihVvJfMjLAmec39IyEx_6qawtMGysU/edit?usp=sharing"",""สบก!BO82"")"),0)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IFERROR(__xludf.DUMMYFUNCTION("IMPORTRANGE(""https://docs.google.com/spreadsheets/d/1Yj_ptqi66GCucihVvJfMjLAmec39IyEx_6qawtMGysU/edit?usp=sharing"",""สบก!BP82"")"),0)</f>
        <v>0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IFERROR(__xludf.DUMMYFUNCTION("IMPORTRANGE(""https://docs.google.com/spreadsheets/d/1IYY_tgx_IHuhSq3AJ5eI5OnqOPBNLWSHKh2a30DoXe8/edit?usp=sharing"",""ชุมพร!I149"")"),0)</f>
        <v>0</v>
      </c>
      <c r="J229" s="273">
        <f ca="1">IFERROR(__xludf.DUMMYFUNCTION("IMPORTRANGE(""https://docs.google.com/spreadsheets/d/1IYY_tgx_IHuhSq3AJ5eI5OnqOPBNLWSHKh2a30DoXe8/edit?usp=sharing"",""ชุมพร!J149"")"),0)</f>
        <v>0</v>
      </c>
      <c r="K229" s="274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IFERROR(__xludf.DUMMYFUNCTION("IMPORTRANGE(""https://docs.google.com/spreadsheets/d/1IYY_tgx_IHuhSq3AJ5eI5OnqOPBNLWSHKh2a30DoXe8/edit?usp=sharing"",""ชุมพร!J151"")"),0)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IFERROR(__xludf.DUMMYFUNCTION("IMPORTRANGE(""https://docs.google.com/spreadsheets/d/1IYY_tgx_IHuhSq3AJ5eI5OnqOPBNLWSHKh2a30DoXe8/edit?usp=sharing"",""ชุมพร!J152"")"),0)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IFERROR(__xludf.DUMMYFUNCTION("IMPORTRANGE(""https://docs.google.com/spreadsheets/d/1IYY_tgx_IHuhSq3AJ5eI5OnqOPBNLWSHKh2a30DoXe8/edit?usp=sharing"",""ชุมพร!J153"")"),0)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IFERROR(__xludf.DUMMYFUNCTION("IMPORTRANGE(""https://docs.google.com/spreadsheets/d/1IYY_tgx_IHuhSq3AJ5eI5OnqOPBNLWSHKh2a30DoXe8/edit?usp=sharing"",""ชุมพร!J154"")"),0)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IFERROR(__xludf.DUMMYFUNCTION("IMPORTRANGE(""https://docs.google.com/spreadsheets/d/1IYY_tgx_IHuhSq3AJ5eI5OnqOPBNLWSHKh2a30DoXe8/edit?usp=sharing"",""ชุมพร!I155"")"),0)</f>
        <v>0</v>
      </c>
      <c r="J235" s="195">
        <f ca="1">IFERROR(__xludf.DUMMYFUNCTION("IMPORTRANGE(""https://docs.google.com/spreadsheets/d/1IYY_tgx_IHuhSq3AJ5eI5OnqOPBNLWSHKh2a30DoXe8/edit?usp=sharing"",""ชุมพร!J155"")"),0)</f>
        <v>0</v>
      </c>
      <c r="K235" s="167">
        <f ca="1">IF(I235&gt;0,J235*100/I235,0)</f>
        <v>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IFERROR(__xludf.DUMMYFUNCTION("IMPORTRANGE(""https://docs.google.com/spreadsheets/d/1IYY_tgx_IHuhSq3AJ5eI5OnqOPBNLWSHKh2a30DoXe8/edit?usp=sharing"",""ชุมพร!J156"")"),0)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IFERROR(__xludf.DUMMYFUNCTION("IMPORTRANGE(""https://docs.google.com/spreadsheets/d/1IYY_tgx_IHuhSq3AJ5eI5OnqOPBNLWSHKh2a30DoXe8/edit?usp=sharing"",""ชุมพร!J157"")"),0)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IFERROR(__xludf.DUMMYFUNCTION("IMPORTRANGE(""https://docs.google.com/spreadsheets/d/1IYY_tgx_IHuhSq3AJ5eI5OnqOPBNLWSHKh2a30DoXe8/edit?usp=sharing"",""ชุมพร!I158"")"),0)</f>
        <v>0</v>
      </c>
      <c r="J238" s="273">
        <f ca="1">IFERROR(__xludf.DUMMYFUNCTION("IMPORTRANGE(""https://docs.google.com/spreadsheets/d/1IYY_tgx_IHuhSq3AJ5eI5OnqOPBNLWSHKh2a30DoXe8/edit?usp=sharing"",""ชุมพร!J158"")"),0)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IFERROR(__xludf.DUMMYFUNCTION("IMPORTRANGE(""https://docs.google.com/spreadsheets/d/1IYY_tgx_IHuhSq3AJ5eI5OnqOPBNLWSHKh2a30DoXe8/edit?usp=sharing"",""ชุมพร!J159"")"),"")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IFERROR(__xludf.DUMMYFUNCTION("IMPORTRANGE(""https://docs.google.com/spreadsheets/d/1IYY_tgx_IHuhSq3AJ5eI5OnqOPBNLWSHKh2a30DoXe8/edit?usp=sharing"",""ชุมพร!J161"")"),0)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IFERROR(__xludf.DUMMYFUNCTION("IMPORTRANGE(""https://docs.google.com/spreadsheets/d/1IYY_tgx_IHuhSq3AJ5eI5OnqOPBNLWSHKh2a30DoXe8/edit?usp=sharing"",""ชุมพร!J162"")"),0)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IFERROR(__xludf.DUMMYFUNCTION("IMPORTRANGE(""https://docs.google.com/spreadsheets/d/1IYY_tgx_IHuhSq3AJ5eI5OnqOPBNLWSHKh2a30DoXe8/edit?usp=sharing"",""ชุมพร!J163"")"),0)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IFERROR(__xludf.DUMMYFUNCTION("IMPORTRANGE(""https://docs.google.com/spreadsheets/d/1IYY_tgx_IHuhSq3AJ5eI5OnqOPBNLWSHKh2a30DoXe8/edit?usp=sharing"",""ชุมพร!I164"")"),0)</f>
        <v>0</v>
      </c>
      <c r="J244" s="194">
        <f ca="1">IFERROR(__xludf.DUMMYFUNCTION("IMPORTRANGE(""https://docs.google.com/spreadsheets/d/1IYY_tgx_IHuhSq3AJ5eI5OnqOPBNLWSHKh2a30DoXe8/edit?usp=sharing"",""ชุมพร!J164"")"),0)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IFERROR(__xludf.DUMMYFUNCTION("IMPORTRANGE(""https://docs.google.com/spreadsheets/d/1IYY_tgx_IHuhSq3AJ5eI5OnqOPBNLWSHKh2a30DoXe8/edit?usp=sharing"",""ชุมพร!J165"")"),0)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21980</v>
      </c>
      <c r="O250" s="155">
        <f t="shared" ref="O250:O252" ca="1" si="78">IF(L250&gt;0,N250*100/L250,0)</f>
        <v>30.784313725490197</v>
      </c>
      <c r="P250" s="155">
        <f t="shared" ref="P250:P252" ca="1" si="79">IF(M250&gt;0,N250*100/M250,0)</f>
        <v>30.784313725490197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21980</v>
      </c>
      <c r="O252" s="160">
        <f t="shared" ca="1" si="78"/>
        <v>30.784313725490197</v>
      </c>
      <c r="P252" s="160">
        <f t="shared" ca="1" si="79"/>
        <v>30.784313725490197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IFERROR(__xludf.DUMMYFUNCTION("IMPORTRANGE(""https://docs.google.com/spreadsheets/d/1Yj_ptqi66GCucihVvJfMjLAmec39IyEx_6qawtMGysU/edit?usp=sharing"",""สบก!CB82"")"),71400)</f>
        <v>71400</v>
      </c>
      <c r="N254" s="174">
        <f ca="1">IFERROR(__xludf.DUMMYFUNCTION("IMPORTRANGE(""https://docs.google.com/spreadsheets/d/1Yj_ptqi66GCucihVvJfMjLAmec39IyEx_6qawtMGysU/edit?usp=sharing"",""สบก!CC82"")"),21980)</f>
        <v>21980</v>
      </c>
      <c r="O254" s="175">
        <f ca="1">IF(L254&gt;0,N254*100/L254,0)</f>
        <v>30.784313725490197</v>
      </c>
      <c r="P254" s="175">
        <f ca="1">IF(M254&gt;0,N254*100/M254,0)</f>
        <v>30.784313725490197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IFERROR(__xludf.DUMMYFUNCTION("IMPORTRANGE(""https://docs.google.com/spreadsheets/d/1Yj_ptqi66GCucihVvJfMjLAmec39IyEx_6qawtMGysU/edit?usp=sharing"",""สบก!BX82"")"),0)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IFERROR(__xludf.DUMMYFUNCTION("IMPORTRANGE(""https://docs.google.com/spreadsheets/d/1Yj_ptqi66GCucihVvJfMjLAmec39IyEx_6qawtMGysU/edit?usp=sharing"",""สบก!BY82"")"),71400)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IFERROR(__xludf.DUMMYFUNCTION("IMPORTRANGE(""https://docs.google.com/spreadsheets/d/1IYY_tgx_IHuhSq3AJ5eI5OnqOPBNLWSHKh2a30DoXe8/edit?usp=sharing"",""ชุมพร!J175"")"),0)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IFERROR(__xludf.DUMMYFUNCTION("IMPORTRANGE(""https://docs.google.com/spreadsheets/d/1IYY_tgx_IHuhSq3AJ5eI5OnqOPBNLWSHKh2a30DoXe8/edit?usp=sharing"",""ชุมพร!J176"")"),1)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IFERROR(__xludf.DUMMYFUNCTION("IMPORTRANGE(""https://docs.google.com/spreadsheets/d/1IYY_tgx_IHuhSq3AJ5eI5OnqOPBNLWSHKh2a30DoXe8/edit?usp=sharing"",""ชุมพร!J177"")"),1)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IFERROR(__xludf.DUMMYFUNCTION("IMPORTRANGE(""https://docs.google.com/spreadsheets/d/1IYY_tgx_IHuhSq3AJ5eI5OnqOPBNLWSHKh2a30DoXe8/edit?usp=sharing"",""ชุมพร!J178"")"),1)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IFERROR(__xludf.DUMMYFUNCTION("IMPORTRANGE(""https://docs.google.com/spreadsheets/d/1IYY_tgx_IHuhSq3AJ5eI5OnqOPBNLWSHKh2a30DoXe8/edit?usp=sharing"",""ชุมพร!I179"")"),1)</f>
        <v>1</v>
      </c>
      <c r="J264" s="195">
        <f ca="1">IFERROR(__xludf.DUMMYFUNCTION("IMPORTRANGE(""https://docs.google.com/spreadsheets/d/1IYY_tgx_IHuhSq3AJ5eI5OnqOPBNLWSHKh2a30DoXe8/edit?usp=sharing"",""ชุมพร!J179"")"),0)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IFERROR(__xludf.DUMMYFUNCTION("IMPORTRANGE(""https://docs.google.com/spreadsheets/d/1IYY_tgx_IHuhSq3AJ5eI5OnqOPBNLWSHKh2a30DoXe8/edit?usp=sharing"",""ชุมพร!I180"")"),20)</f>
        <v>20</v>
      </c>
      <c r="J265" s="195">
        <f ca="1">IFERROR(__xludf.DUMMYFUNCTION("IMPORTRANGE(""https://docs.google.com/spreadsheets/d/1IYY_tgx_IHuhSq3AJ5eI5OnqOPBNLWSHKh2a30DoXe8/edit?usp=sharing"",""ชุมพร!J180"")"),20)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IFERROR(__xludf.DUMMYFUNCTION("IMPORTRANGE(""https://docs.google.com/spreadsheets/d/1IYY_tgx_IHuhSq3AJ5eI5OnqOPBNLWSHKh2a30DoXe8/edit?usp=sharing"",""ชุมพร!I181"")"),20)</f>
        <v>20</v>
      </c>
      <c r="J266" s="195">
        <f ca="1">IFERROR(__xludf.DUMMYFUNCTION("IMPORTRANGE(""https://docs.google.com/spreadsheets/d/1IYY_tgx_IHuhSq3AJ5eI5OnqOPBNLWSHKh2a30DoXe8/edit?usp=sharing"",""ชุมพร!J181"")"),0)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IFERROR(__xludf.DUMMYFUNCTION("IMPORTRANGE(""https://docs.google.com/spreadsheets/d/1IYY_tgx_IHuhSq3AJ5eI5OnqOPBNLWSHKh2a30DoXe8/edit?usp=sharing"",""ชุมพร!I182"")"),1)</f>
        <v>1</v>
      </c>
      <c r="J267" s="195">
        <f ca="1">IFERROR(__xludf.DUMMYFUNCTION("IMPORTRANGE(""https://docs.google.com/spreadsheets/d/1IYY_tgx_IHuhSq3AJ5eI5OnqOPBNLWSHKh2a30DoXe8/edit?usp=sharing"",""ชุมพร!J182"")"),1)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IFERROR(__xludf.DUMMYFUNCTION("IMPORTRANGE(""https://docs.google.com/spreadsheets/d/1IYY_tgx_IHuhSq3AJ5eI5OnqOPBNLWSHKh2a30DoXe8/edit?usp=sharing"",""ชุมพร!J183"")"),0)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IFERROR(__xludf.DUMMYFUNCTION("IMPORTRANGE(""https://docs.google.com/spreadsheets/d/1IYY_tgx_IHuhSq3AJ5eI5OnqOPBNLWSHKh2a30DoXe8/edit?usp=sharing"",""ชุมพร!J184"")"),0)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183600</v>
      </c>
      <c r="M271" s="156">
        <f t="shared" ca="1" si="83"/>
        <v>183600</v>
      </c>
      <c r="N271" s="156">
        <f t="shared" ca="1" si="83"/>
        <v>167781</v>
      </c>
      <c r="O271" s="155">
        <f t="shared" ref="O271:O273" ca="1" si="84">IF(L271&gt;0,N271*100/L271,0)</f>
        <v>91.383986928104576</v>
      </c>
      <c r="P271" s="155">
        <f t="shared" ref="P271:P273" ca="1" si="85">IF(M271&gt;0,N271*100/M271,0)</f>
        <v>91.383986928104576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183600</v>
      </c>
      <c r="M273" s="161">
        <f t="shared" ca="1" si="87"/>
        <v>183600</v>
      </c>
      <c r="N273" s="161">
        <f t="shared" ca="1" si="87"/>
        <v>167781</v>
      </c>
      <c r="O273" s="160">
        <f t="shared" ca="1" si="84"/>
        <v>91.383986928104576</v>
      </c>
      <c r="P273" s="160">
        <f t="shared" ca="1" si="85"/>
        <v>91.383986928104576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183600</v>
      </c>
      <c r="M275" s="173">
        <f ca="1">IFERROR(__xludf.DUMMYFUNCTION("IMPORTRANGE(""https://docs.google.com/spreadsheets/d/1Yj_ptqi66GCucihVvJfMjLAmec39IyEx_6qawtMGysU/edit?usp=sharing"",""สบก!CK82"")"),183600)</f>
        <v>183600</v>
      </c>
      <c r="N275" s="174">
        <f ca="1">IFERROR(__xludf.DUMMYFUNCTION("IMPORTRANGE(""https://docs.google.com/spreadsheets/d/1Yj_ptqi66GCucihVvJfMjLAmec39IyEx_6qawtMGysU/edit?usp=sharing"",""สบก!CL82"")"),167781)</f>
        <v>167781</v>
      </c>
      <c r="O275" s="175">
        <f ca="1">IF(L275&gt;0,N275*100/L275,0)</f>
        <v>91.383986928104576</v>
      </c>
      <c r="P275" s="175">
        <f ca="1">IF(M275&gt;0,N275*100/M275,0)</f>
        <v>91.383986928104576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IFERROR(__xludf.DUMMYFUNCTION("IMPORTRANGE(""https://docs.google.com/spreadsheets/d/1Yj_ptqi66GCucihVvJfMjLAmec39IyEx_6qawtMGysU/edit?usp=sharing"",""สบก!CG82"")"),0)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IFERROR(__xludf.DUMMYFUNCTION("IMPORTRANGE(""https://docs.google.com/spreadsheets/d/1Yj_ptqi66GCucihVvJfMjLAmec39IyEx_6qawtMGysU/edit?usp=sharing"",""สบก!CH82"")"),183600)</f>
        <v>183600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IFERROR(__xludf.DUMMYFUNCTION("IMPORTRANGE(""https://docs.google.com/spreadsheets/d/1IYY_tgx_IHuhSq3AJ5eI5OnqOPBNLWSHKh2a30DoXe8/edit?usp=sharing"",""ชุมพร!J191"")"),0)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IFERROR(__xludf.DUMMYFUNCTION("IMPORTRANGE(""https://docs.google.com/spreadsheets/d/1IYY_tgx_IHuhSq3AJ5eI5OnqOPBNLWSHKh2a30DoXe8/edit?usp=sharing"",""ชุมพร!J192"")"),1)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IFERROR(__xludf.DUMMYFUNCTION("IMPORTRANGE(""https://docs.google.com/spreadsheets/d/1IYY_tgx_IHuhSq3AJ5eI5OnqOPBNLWSHKh2a30DoXe8/edit?usp=sharing"",""ชุมพร!J193"")"),1)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IFERROR(__xludf.DUMMYFUNCTION("IMPORTRANGE(""https://docs.google.com/spreadsheets/d/1IYY_tgx_IHuhSq3AJ5eI5OnqOPBNLWSHKh2a30DoXe8/edit?usp=sharing"",""ชุมพร!J194"")"),1)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IFERROR(__xludf.DUMMYFUNCTION("IMPORTRANGE(""https://docs.google.com/spreadsheets/d/1IYY_tgx_IHuhSq3AJ5eI5OnqOPBNLWSHKh2a30DoXe8/edit?usp=sharing"",""ชุมพร!I195"")"),20)</f>
        <v>20</v>
      </c>
      <c r="J285" s="195">
        <f ca="1">IFERROR(__xludf.DUMMYFUNCTION("IMPORTRANGE(""https://docs.google.com/spreadsheets/d/1IYY_tgx_IHuhSq3AJ5eI5OnqOPBNLWSHKh2a30DoXe8/edit?usp=sharing"",""ชุมพร!J195"")"),20)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IFERROR(__xludf.DUMMYFUNCTION("IMPORTRANGE(""https://docs.google.com/spreadsheets/d/1IYY_tgx_IHuhSq3AJ5eI5OnqOPBNLWSHKh2a30DoXe8/edit?usp=sharing"",""ชุมพร!J196"")"),0)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IFERROR(__xludf.DUMMYFUNCTION("IMPORTRANGE(""https://docs.google.com/spreadsheets/d/1IYY_tgx_IHuhSq3AJ5eI5OnqOPBNLWSHKh2a30DoXe8/edit?usp=sharing"",""ชุมพร!J197"")"),0)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95360</v>
      </c>
      <c r="M290" s="156">
        <f t="shared" ca="1" si="88"/>
        <v>95360</v>
      </c>
      <c r="N290" s="156">
        <f t="shared" ca="1" si="88"/>
        <v>94900</v>
      </c>
      <c r="O290" s="155">
        <f t="shared" ref="O290:O292" ca="1" si="89">IF(L290&gt;0,N290*100/L290,0)</f>
        <v>99.517617449664428</v>
      </c>
      <c r="P290" s="155">
        <f t="shared" ref="P290:P292" ca="1" si="90">IF(M290&gt;0,N290*100/M290,0)</f>
        <v>99.517617449664428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95360</v>
      </c>
      <c r="M292" s="161">
        <f t="shared" ca="1" si="92"/>
        <v>95360</v>
      </c>
      <c r="N292" s="161">
        <f t="shared" ca="1" si="92"/>
        <v>94900</v>
      </c>
      <c r="O292" s="160">
        <f t="shared" ca="1" si="89"/>
        <v>99.517617449664428</v>
      </c>
      <c r="P292" s="160">
        <f t="shared" ca="1" si="90"/>
        <v>99.517617449664428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95360</v>
      </c>
      <c r="M294" s="173">
        <f ca="1">IFERROR(__xludf.DUMMYFUNCTION("IMPORTRANGE(""https://docs.google.com/spreadsheets/d/1Yj_ptqi66GCucihVvJfMjLAmec39IyEx_6qawtMGysU/edit?usp=sharing"",""สบก!CT82"")"),95360)</f>
        <v>95360</v>
      </c>
      <c r="N294" s="174">
        <f ca="1">IFERROR(__xludf.DUMMYFUNCTION("IMPORTRANGE(""https://docs.google.com/spreadsheets/d/1Yj_ptqi66GCucihVvJfMjLAmec39IyEx_6qawtMGysU/edit?usp=sharing"",""สบก!CU82"")"),94900)</f>
        <v>94900</v>
      </c>
      <c r="O294" s="175">
        <f ca="1">IF(L294&gt;0,N294*100/L294,0)</f>
        <v>99.517617449664428</v>
      </c>
      <c r="P294" s="175">
        <f ca="1">IF(M294&gt;0,N294*100/M294,0)</f>
        <v>99.517617449664428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IFERROR(__xludf.DUMMYFUNCTION("IMPORTRANGE(""https://docs.google.com/spreadsheets/d/1Yj_ptqi66GCucihVvJfMjLAmec39IyEx_6qawtMGysU/edit?usp=sharing"",""สบก!CP82"")"),0)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IFERROR(__xludf.DUMMYFUNCTION("IMPORTRANGE(""https://docs.google.com/spreadsheets/d/1Yj_ptqi66GCucihVvJfMjLAmec39IyEx_6qawtMGysU/edit?usp=sharing"",""สบก!CQ82"")"),95360)</f>
        <v>95360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IFERROR(__xludf.DUMMYFUNCTION("IMPORTRANGE(""https://docs.google.com/spreadsheets/d/1IYY_tgx_IHuhSq3AJ5eI5OnqOPBNLWSHKh2a30DoXe8/edit?usp=sharing"",""ชุมพร!J205"")"),0)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IFERROR(__xludf.DUMMYFUNCTION("IMPORTRANGE(""https://docs.google.com/spreadsheets/d/1IYY_tgx_IHuhSq3AJ5eI5OnqOPBNLWSHKh2a30DoXe8/edit?usp=sharing"",""ชุมพร!J206"")"),1)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IFERROR(__xludf.DUMMYFUNCTION("IMPORTRANGE(""https://docs.google.com/spreadsheets/d/1IYY_tgx_IHuhSq3AJ5eI5OnqOPBNLWSHKh2a30DoXe8/edit?usp=sharing"",""ชุมพร!J207"")"),1)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IFERROR(__xludf.DUMMYFUNCTION("IMPORTRANGE(""https://docs.google.com/spreadsheets/d/1IYY_tgx_IHuhSq3AJ5eI5OnqOPBNLWSHKh2a30DoXe8/edit?usp=sharing"",""ชุมพร!J208"")"),1)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IFERROR(__xludf.DUMMYFUNCTION("IMPORTRANGE(""https://docs.google.com/spreadsheets/d/1IYY_tgx_IHuhSq3AJ5eI5OnqOPBNLWSHKh2a30DoXe8/edit?usp=sharing"",""ชุมพร!I209"")"),30)</f>
        <v>30</v>
      </c>
      <c r="J304" s="210">
        <f ca="1">IFERROR(__xludf.DUMMYFUNCTION("IMPORTRANGE(""https://docs.google.com/spreadsheets/d/1IYY_tgx_IHuhSq3AJ5eI5OnqOPBNLWSHKh2a30DoXe8/edit?usp=sharing"",""ชุมพร!J209"")"),30)</f>
        <v>30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IFERROR(__xludf.DUMMYFUNCTION("IMPORTRANGE(""https://docs.google.com/spreadsheets/d/1IYY_tgx_IHuhSq3AJ5eI5OnqOPBNLWSHKh2a30DoXe8/edit?usp=sharing"",""ชุมพร!I211"")"),30)</f>
        <v>30</v>
      </c>
      <c r="J306" s="210">
        <f ca="1">IFERROR(__xludf.DUMMYFUNCTION("IMPORTRANGE(""https://docs.google.com/spreadsheets/d/1IYY_tgx_IHuhSq3AJ5eI5OnqOPBNLWSHKh2a30DoXe8/edit?usp=sharing"",""ชุมพร!J211"")"),30)</f>
        <v>30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IFERROR(__xludf.DUMMYFUNCTION("IMPORTRANGE(""https://docs.google.com/spreadsheets/d/1IYY_tgx_IHuhSq3AJ5eI5OnqOPBNLWSHKh2a30DoXe8/edit?usp=sharing"",""ชุมพร!J212"")"),0)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IFERROR(__xludf.DUMMYFUNCTION("IMPORTRANGE(""https://docs.google.com/spreadsheets/d/1IYY_tgx_IHuhSq3AJ5eI5OnqOPBNLWSHKh2a30DoXe8/edit?usp=sharing"",""ชุมพร!J213"")"),0)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231600</v>
      </c>
      <c r="M310" s="156">
        <f t="shared" ca="1" si="93"/>
        <v>391600</v>
      </c>
      <c r="N310" s="156">
        <f t="shared" ca="1" si="93"/>
        <v>290610</v>
      </c>
      <c r="O310" s="155">
        <f t="shared" ref="O310:O312" ca="1" si="94">IF(L310&gt;0,N310*100/L310,0)</f>
        <v>125.47927461139896</v>
      </c>
      <c r="P310" s="155">
        <f t="shared" ref="P310:P312" ca="1" si="95">IF(M310&gt;0,N310*100/M310,0)</f>
        <v>74.210929519918281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231600</v>
      </c>
      <c r="M312" s="161">
        <f t="shared" ca="1" si="97"/>
        <v>391600</v>
      </c>
      <c r="N312" s="161">
        <f t="shared" ca="1" si="97"/>
        <v>290610</v>
      </c>
      <c r="O312" s="160">
        <f t="shared" ca="1" si="94"/>
        <v>125.47927461139896</v>
      </c>
      <c r="P312" s="160">
        <f t="shared" ca="1" si="95"/>
        <v>74.210929519918281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231600</v>
      </c>
      <c r="M314" s="173">
        <f ca="1">IFERROR(__xludf.DUMMYFUNCTION("IMPORTRANGE(""https://docs.google.com/spreadsheets/d/1Yj_ptqi66GCucihVvJfMjLAmec39IyEx_6qawtMGysU/edit?usp=sharing"",""สบก!DC82"")"),391600)</f>
        <v>391600</v>
      </c>
      <c r="N314" s="174">
        <f ca="1">IFERROR(__xludf.DUMMYFUNCTION("IMPORTRANGE(""https://docs.google.com/spreadsheets/d/1Yj_ptqi66GCucihVvJfMjLAmec39IyEx_6qawtMGysU/edit?usp=sharing"",""สบก!DD82"")"),290610)</f>
        <v>290610</v>
      </c>
      <c r="O314" s="175">
        <f ca="1">IF(L314&gt;0,N314*100/L314,0)</f>
        <v>125.47927461139896</v>
      </c>
      <c r="P314" s="175">
        <f ca="1">IF(M314&gt;0,N314*100/M314,0)</f>
        <v>74.210929519918281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IFERROR(__xludf.DUMMYFUNCTION("IMPORTRANGE(""https://docs.google.com/spreadsheets/d/1Yj_ptqi66GCucihVvJfMjLAmec39IyEx_6qawtMGysU/edit?usp=sharing"",""สบก!CY82"")"),0)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IFERROR(__xludf.DUMMYFUNCTION("IMPORTRANGE(""https://docs.google.com/spreadsheets/d/1Yj_ptqi66GCucihVvJfMjLAmec39IyEx_6qawtMGysU/edit?usp=sharing"",""สบก!CZ82"")"),231600)</f>
        <v>231600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IFERROR(__xludf.DUMMYFUNCTION("IMPORTRANGE(""https://docs.google.com/spreadsheets/d/1IYY_tgx_IHuhSq3AJ5eI5OnqOPBNLWSHKh2a30DoXe8/edit?usp=sharing"",""ชุมพร!J220"")"),0)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IFERROR(__xludf.DUMMYFUNCTION("IMPORTRANGE(""https://docs.google.com/spreadsheets/d/1IYY_tgx_IHuhSq3AJ5eI5OnqOPBNLWSHKh2a30DoXe8/edit?usp=sharing"",""ชุมพร!J221"")"),1)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IFERROR(__xludf.DUMMYFUNCTION("IMPORTRANGE(""https://docs.google.com/spreadsheets/d/1IYY_tgx_IHuhSq3AJ5eI5OnqOPBNLWSHKh2a30DoXe8/edit?usp=sharing"",""ชุมพร!J222"")"),1)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IFERROR(__xludf.DUMMYFUNCTION("IMPORTRANGE(""https://docs.google.com/spreadsheets/d/1IYY_tgx_IHuhSq3AJ5eI5OnqOPBNLWSHKh2a30DoXe8/edit?usp=sharing"",""ชุมพร!J223"")"),1)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IFERROR(__xludf.DUMMYFUNCTION("IMPORTRANGE(""https://docs.google.com/spreadsheets/d/1IYY_tgx_IHuhSq3AJ5eI5OnqOPBNLWSHKh2a30DoXe8/edit?usp=sharing"",""ชุมพร!I224"")"),1)</f>
        <v>1</v>
      </c>
      <c r="J324" s="210">
        <f ca="1">IFERROR(__xludf.DUMMYFUNCTION("IMPORTRANGE(""https://docs.google.com/spreadsheets/d/1IYY_tgx_IHuhSq3AJ5eI5OnqOPBNLWSHKh2a30DoXe8/edit?usp=sharing"",""ชุมพร!J224"")"),1)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IFERROR(__xludf.DUMMYFUNCTION("IMPORTRANGE(""https://docs.google.com/spreadsheets/d/1IYY_tgx_IHuhSq3AJ5eI5OnqOPBNLWSHKh2a30DoXe8/edit?usp=sharing"",""ชุมพร!J225"")"),0)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IFERROR(__xludf.DUMMYFUNCTION("IMPORTRANGE(""https://docs.google.com/spreadsheets/d/1IYY_tgx_IHuhSq3AJ5eI5OnqOPBNLWSHKh2a30DoXe8/edit?usp=sharing"",""ชุมพร!J226"")"),0)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IFERROR(__xludf.DUMMYFUNCTION("IMPORTRANGE(""https://docs.google.com/spreadsheets/d/1IYY_tgx_IHuhSq3AJ5eI5OnqOPBNLWSHKh2a30DoXe8/edit?usp=sharing"",""ชุมพร!J228"")"),206)</f>
        <v>206</v>
      </c>
      <c r="K328" s="323">
        <f ca="1">IF(I328&gt;0,J328*100/I328,0)</f>
        <v>85.833333333333329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624360</v>
      </c>
      <c r="M329" s="156">
        <f t="shared" ca="1" si="98"/>
        <v>664860</v>
      </c>
      <c r="N329" s="156">
        <f t="shared" ca="1" si="98"/>
        <v>425107.07</v>
      </c>
      <c r="O329" s="155">
        <f t="shared" ref="O329:O331" ca="1" si="99">IF(L329&gt;0,N329*100/L329,0)</f>
        <v>68.086852136587865</v>
      </c>
      <c r="P329" s="155">
        <f t="shared" ref="P329:P331" ca="1" si="100">IF(M329&gt;0,N329*100/M329,0)</f>
        <v>63.939336100833259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624360</v>
      </c>
      <c r="M331" s="161">
        <f t="shared" ca="1" si="102"/>
        <v>664860</v>
      </c>
      <c r="N331" s="161">
        <f t="shared" ca="1" si="102"/>
        <v>425107.07</v>
      </c>
      <c r="O331" s="160">
        <f t="shared" ca="1" si="99"/>
        <v>68.086852136587865</v>
      </c>
      <c r="P331" s="160">
        <f t="shared" ca="1" si="100"/>
        <v>63.939336100833259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624360</v>
      </c>
      <c r="M333" s="173">
        <f ca="1">IFERROR(__xludf.DUMMYFUNCTION("IMPORTRANGE(""https://docs.google.com/spreadsheets/d/1Yj_ptqi66GCucihVvJfMjLAmec39IyEx_6qawtMGysU/edit?usp=sharing"",""สบก!DL82"")"),664860)</f>
        <v>664860</v>
      </c>
      <c r="N333" s="174">
        <f ca="1">IFERROR(__xludf.DUMMYFUNCTION("IMPORTRANGE(""https://docs.google.com/spreadsheets/d/1Yj_ptqi66GCucihVvJfMjLAmec39IyEx_6qawtMGysU/edit?usp=sharing"",""สบก!DM82"")"),425107.07)</f>
        <v>425107.07</v>
      </c>
      <c r="O333" s="175">
        <f ca="1">IF(L333&gt;0,N333*100/L333,0)</f>
        <v>68.086852136587865</v>
      </c>
      <c r="P333" s="175">
        <f ca="1">IF(M333&gt;0,N333*100/M333,0)</f>
        <v>63.939336100833259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IFERROR(__xludf.DUMMYFUNCTION("IMPORTRANGE(""https://docs.google.com/spreadsheets/d/1Yj_ptqi66GCucihVvJfMjLAmec39IyEx_6qawtMGysU/edit?usp=sharing"",""สบก!DH82"")"),194400)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IFERROR(__xludf.DUMMYFUNCTION("IMPORTRANGE(""https://docs.google.com/spreadsheets/d/1Yj_ptqi66GCucihVvJfMjLAmec39IyEx_6qawtMGysU/edit?usp=sharing"",""สบก!DI82"")"),429960)</f>
        <v>429960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IFERROR(__xludf.DUMMYFUNCTION("IMPORTRANGE(""https://docs.google.com/spreadsheets/d/1IYY_tgx_IHuhSq3AJ5eI5OnqOPBNLWSHKh2a30DoXe8/edit?usp=sharing"",""ชุมพร!I234"")"),0)</f>
        <v>0</v>
      </c>
      <c r="J339" s="194">
        <f ca="1">IFERROR(__xludf.DUMMYFUNCTION("IMPORTRANGE(""https://docs.google.com/spreadsheets/d/1IYY_tgx_IHuhSq3AJ5eI5OnqOPBNLWSHKh2a30DoXe8/edit?usp=sharing"",""ชุมพร!J234"")"),173)</f>
        <v>173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IFERROR(__xludf.DUMMYFUNCTION("IMPORTRANGE(""https://docs.google.com/spreadsheets/d/1IYY_tgx_IHuhSq3AJ5eI5OnqOPBNLWSHKh2a30DoXe8/edit?usp=sharing"",""ชุมพร!I235"")"),2510)</f>
        <v>2510</v>
      </c>
      <c r="J340" s="194">
        <f ca="1">IFERROR(__xludf.DUMMYFUNCTION("IMPORTRANGE(""https://docs.google.com/spreadsheets/d/1IYY_tgx_IHuhSq3AJ5eI5OnqOPBNLWSHKh2a30DoXe8/edit?usp=sharing"",""ชุมพร!J235"")"),1734.45)</f>
        <v>1734.45</v>
      </c>
      <c r="K340" s="348">
        <f t="shared" ca="1" si="103"/>
        <v>69.101593625498012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IFERROR(__xludf.DUMMYFUNCTION("IMPORTRANGE(""https://docs.google.com/spreadsheets/d/1IYY_tgx_IHuhSq3AJ5eI5OnqOPBNLWSHKh2a30DoXe8/edit?usp=sharing"",""ชุมพร!I236"")"),240)</f>
        <v>240</v>
      </c>
      <c r="J341" s="194">
        <f ca="1">IFERROR(__xludf.DUMMYFUNCTION("IMPORTRANGE(""https://docs.google.com/spreadsheets/d/1IYY_tgx_IHuhSq3AJ5eI5OnqOPBNLWSHKh2a30DoXe8/edit?usp=sharing"",""ชุมพร!J236"")"),204)</f>
        <v>204</v>
      </c>
      <c r="K341" s="348">
        <f t="shared" ca="1" si="103"/>
        <v>85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4">
        <f ca="1">IFERROR(__xludf.DUMMYFUNCTION("IMPORTRANGE(""https://docs.google.com/spreadsheets/d/1IYY_tgx_IHuhSq3AJ5eI5OnqOPBNLWSHKh2a30DoXe8/edit?usp=sharing"",""ชุมพร!J237"")"),2510.39)</f>
        <v>2510.39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IFERROR(__xludf.DUMMYFUNCTION("IMPORTRANGE(""https://docs.google.com/spreadsheets/d/1IYY_tgx_IHuhSq3AJ5eI5OnqOPBNLWSHKh2a30DoXe8/edit?usp=sharing"",""ชุมพร!I238"")"),240)</f>
        <v>240</v>
      </c>
      <c r="J343" s="194">
        <f ca="1">IFERROR(__xludf.DUMMYFUNCTION("IMPORTRANGE(""https://docs.google.com/spreadsheets/d/1IYY_tgx_IHuhSq3AJ5eI5OnqOPBNLWSHKh2a30DoXe8/edit?usp=sharing"",""ชุมพร!J238"")"),0)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4">
        <f ca="1">IFERROR(__xludf.DUMMYFUNCTION("IMPORTRANGE(""https://docs.google.com/spreadsheets/d/1IYY_tgx_IHuhSq3AJ5eI5OnqOPBNLWSHKh2a30DoXe8/edit?usp=sharing"",""ชุมพร!J239"")"),0)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IFERROR(__xludf.DUMMYFUNCTION("IMPORTRANGE(""https://docs.google.com/spreadsheets/d/1IYY_tgx_IHuhSq3AJ5eI5OnqOPBNLWSHKh2a30DoXe8/edit?usp=sharing"",""ชุมพร!I240"")"),240)</f>
        <v>240</v>
      </c>
      <c r="J345" s="194">
        <f ca="1">IFERROR(__xludf.DUMMYFUNCTION("IMPORTRANGE(""https://docs.google.com/spreadsheets/d/1IYY_tgx_IHuhSq3AJ5eI5OnqOPBNLWSHKh2a30DoXe8/edit?usp=sharing"",""ชุมพร!J240"")"),206)</f>
        <v>206</v>
      </c>
      <c r="K345" s="348">
        <f t="shared" ca="1" si="103"/>
        <v>85.833333333333329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4">
        <f ca="1">IFERROR(__xludf.DUMMYFUNCTION("IMPORTRANGE(""https://docs.google.com/spreadsheets/d/1IYY_tgx_IHuhSq3AJ5eI5OnqOPBNLWSHKh2a30DoXe8/edit?usp=sharing"",""ชุมพร!J241"")"),2559.37)</f>
        <v>2559.37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IFERROR(__xludf.DUMMYFUNCTION("IMPORTRANGE(""https://docs.google.com/spreadsheets/d/1IYY_tgx_IHuhSq3AJ5eI5OnqOPBNLWSHKh2a30DoXe8/edit?usp=sharing"",""ชุมพร!L242"")"),2083897)</f>
        <v>2083897</v>
      </c>
      <c r="M347" s="364"/>
      <c r="N347" s="364">
        <f ca="1">IFERROR(__xludf.DUMMYFUNCTION("IMPORTRANGE(""https://docs.google.com/spreadsheets/d/1IYY_tgx_IHuhSq3AJ5eI5OnqOPBNLWSHKh2a30DoXe8/edit?usp=sharing"",""ชุมพร!M242"")"),1447787.62)</f>
        <v>1447787.62</v>
      </c>
      <c r="O347" s="364">
        <f ca="1">+IF(L347&gt;0,N347*100/L347,0)</f>
        <v>69.475008601672727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IFERROR(__xludf.DUMMYFUNCTION("IMPORTRANGE(""https://docs.google.com/spreadsheets/d/1IYY_tgx_IHuhSq3AJ5eI5OnqOPBNLWSHKh2a30DoXe8/edit?usp=sharing"",""ชุมพร!J244"")"),175)</f>
        <v>175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IFERROR(__xludf.DUMMYFUNCTION("IMPORTRANGE(""https://docs.google.com/spreadsheets/d/1IYY_tgx_IHuhSq3AJ5eI5OnqOPBNLWSHKh2a30DoXe8/edit?usp=sharing"",""ชุมพร!L244"")"),369210)</f>
        <v>369210</v>
      </c>
      <c r="M349" s="379"/>
      <c r="N349" s="379">
        <f ca="1">IFERROR(__xludf.DUMMYFUNCTION("IMPORTRANGE(""https://docs.google.com/spreadsheets/d/1IYY_tgx_IHuhSq3AJ5eI5OnqOPBNLWSHKh2a30DoXe8/edit?usp=sharing"",""ชุมพร!M244"")"),269770)</f>
        <v>269770</v>
      </c>
      <c r="O349" s="379">
        <f ca="1">+IF(L349&gt;0,N349*100/L349,0)</f>
        <v>73.066818341865059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IFERROR(__xludf.DUMMYFUNCTION("IMPORTRANGE(""https://docs.google.com/spreadsheets/d/1IYY_tgx_IHuhSq3AJ5eI5OnqOPBNLWSHKh2a30DoXe8/edit?usp=sharing"",""ชุมพร!L246"")"),0)</f>
        <v>0</v>
      </c>
      <c r="M351" s="168"/>
      <c r="N351" s="168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IFERROR(__xludf.DUMMYFUNCTION("IMPORTRANGE(""https://docs.google.com/spreadsheets/d/1IYY_tgx_IHuhSq3AJ5eI5OnqOPBNLWSHKh2a30DoXe8/edit?usp=sharing"",""ชุมพร!L247"")"),369210)</f>
        <v>369210</v>
      </c>
      <c r="M352" s="169"/>
      <c r="N352" s="168">
        <f ca="1">IFERROR(__xludf.DUMMYFUNCTION("IMPORTRANGE(""https://docs.google.com/spreadsheets/d/1IYY_tgx_IHuhSq3AJ5eI5OnqOPBNLWSHKh2a30DoXe8/edit?usp=sharing"",""ชุมพร!M247"")"),269770)</f>
        <v>269770</v>
      </c>
      <c r="O352" s="169">
        <f t="shared" ca="1" si="105"/>
        <v>73.066818341865059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IFERROR(__xludf.DUMMYFUNCTION("IMPORTRANGE(""https://docs.google.com/spreadsheets/d/1IYY_tgx_IHuhSq3AJ5eI5OnqOPBNLWSHKh2a30DoXe8/edit?usp=sharing"",""ชุมพร!L248"")"),0)</f>
        <v>0</v>
      </c>
      <c r="M353" s="175"/>
      <c r="N353" s="175">
        <f ca="1">IFERROR(__xludf.DUMMYFUNCTION("IMPORTRANGE(""https://docs.google.com/spreadsheets/d/1IYY_tgx_IHuhSq3AJ5eI5OnqOPBNLWSHKh2a30DoXe8/edit?usp=sharing"",""ชุมพร!M248"")"),0)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IFERROR(__xludf.DUMMYFUNCTION("IMPORTRANGE(""https://docs.google.com/spreadsheets/d/1IYY_tgx_IHuhSq3AJ5eI5OnqOPBNLWSHKh2a30DoXe8/edit?usp=sharing"",""ชุมพร!L249"")"),369210)</f>
        <v>369210</v>
      </c>
      <c r="M354" s="175"/>
      <c r="N354" s="172">
        <f ca="1">IFERROR(__xludf.DUMMYFUNCTION("IMPORTRANGE(""https://docs.google.com/spreadsheets/d/1IYY_tgx_IHuhSq3AJ5eI5OnqOPBNLWSHKh2a30DoXe8/edit?usp=sharing"",""ชุมพร!M249"")"),269770)</f>
        <v>269770</v>
      </c>
      <c r="O354" s="175">
        <f t="shared" ca="1" si="105"/>
        <v>73.066818341865059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IFERROR(__xludf.DUMMYFUNCTION("IMPORTRANGE(""https://docs.google.com/spreadsheets/d/1IYY_tgx_IHuhSq3AJ5eI5OnqOPBNLWSHKh2a30DoXe8/edit?usp=sharing"",""ชุมพร!M250"")"),44580)</f>
        <v>44580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IFERROR(__xludf.DUMMYFUNCTION("IMPORTRANGE(""https://docs.google.com/spreadsheets/d/1IYY_tgx_IHuhSq3AJ5eI5OnqOPBNLWSHKh2a30DoXe8/edit?usp=sharing"",""ชุมพร!M251"")"),142500)</f>
        <v>142500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IFERROR(__xludf.DUMMYFUNCTION("IMPORTRANGE(""https://docs.google.com/spreadsheets/d/1IYY_tgx_IHuhSq3AJ5eI5OnqOPBNLWSHKh2a30DoXe8/edit?usp=sharing"",""ชุมพร!M252"")"),75175)</f>
        <v>75175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IFERROR(__xludf.DUMMYFUNCTION("IMPORTRANGE(""https://docs.google.com/spreadsheets/d/1IYY_tgx_IHuhSq3AJ5eI5OnqOPBNLWSHKh2a30DoXe8/edit?usp=sharing"",""ชุมพร!M253"")"),7515)</f>
        <v>7515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IFERROR(__xludf.DUMMYFUNCTION("IMPORTRANGE(""https://docs.google.com/spreadsheets/d/1IYY_tgx_IHuhSq3AJ5eI5OnqOPBNLWSHKh2a30DoXe8/edit?usp=sharing"",""ชุมพร!J255"")"),0)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IFERROR(__xludf.DUMMYFUNCTION("IMPORTRANGE(""https://docs.google.com/spreadsheets/d/1IYY_tgx_IHuhSq3AJ5eI5OnqOPBNLWSHKh2a30DoXe8/edit?usp=sharing"",""ชุมพร!J256"")"),1)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IFERROR(__xludf.DUMMYFUNCTION("IMPORTRANGE(""https://docs.google.com/spreadsheets/d/1IYY_tgx_IHuhSq3AJ5eI5OnqOPBNLWSHKh2a30DoXe8/edit?usp=sharing"",""ชุมพร!J257"")"),1)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IFERROR(__xludf.DUMMYFUNCTION("IMPORTRANGE(""https://docs.google.com/spreadsheets/d/1IYY_tgx_IHuhSq3AJ5eI5OnqOPBNLWSHKh2a30DoXe8/edit?usp=sharing"",""ชุมพร!J258"")"),1)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IFERROR(__xludf.DUMMYFUNCTION("IMPORTRANGE(""https://docs.google.com/spreadsheets/d/1IYY_tgx_IHuhSq3AJ5eI5OnqOPBNLWSHKh2a30DoXe8/edit?usp=sharing"",""ชุมพร!J166"")"),0)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IFERROR(__xludf.DUMMYFUNCTION("IMPORTRANGE(""https://docs.google.com/spreadsheets/d/1IYY_tgx_IHuhSq3AJ5eI5OnqOPBNLWSHKh2a30DoXe8/edit?usp=sharing"",""ชุมพร!J166"")"),0)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IFERROR(__xludf.DUMMYFUNCTION("IMPORTRANGE(""https://docs.google.com/spreadsheets/d/1IYY_tgx_IHuhSq3AJ5eI5OnqOPBNLWSHKh2a30DoXe8/edit?usp=sharing"",""ชุมพร!J166"")"),0)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IFERROR(__xludf.DUMMYFUNCTION("IMPORTRANGE(""https://docs.google.com/spreadsheets/d/1IYY_tgx_IHuhSq3AJ5eI5OnqOPBNLWSHKh2a30DoXe8/edit?usp=sharing"",""ชุมพร!J166"")"),0)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IFERROR(__xludf.DUMMYFUNCTION("IMPORTRANGE(""https://docs.google.com/spreadsheets/d/1IYY_tgx_IHuhSq3AJ5eI5OnqOPBNLWSHKh2a30DoXe8/edit?usp=sharing"",""ชุมพร!I263"")"),35)</f>
        <v>35</v>
      </c>
      <c r="J368" s="194">
        <f ca="1">IFERROR(__xludf.DUMMYFUNCTION("IMPORTRANGE(""https://docs.google.com/spreadsheets/d/1IYY_tgx_IHuhSq3AJ5eI5OnqOPBNLWSHKh2a30DoXe8/edit?usp=sharing"",""ชุมพร!J263"")"),35)</f>
        <v>35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IFERROR(__xludf.DUMMYFUNCTION("IMPORTRANGE(""https://docs.google.com/spreadsheets/d/1IYY_tgx_IHuhSq3AJ5eI5OnqOPBNLWSHKh2a30DoXe8/edit?usp=sharing"",""ชุมพร!I164"")"),0)</f>
        <v>0</v>
      </c>
      <c r="J369" s="210">
        <f ca="1">IFERROR(__xludf.DUMMYFUNCTION("IMPORTRANGE(""https://docs.google.com/spreadsheets/d/1IYY_tgx_IHuhSq3AJ5eI5OnqOPBNLWSHKh2a30DoXe8/edit?usp=sharing"",""ชุมพร!J164"")"),0)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IFERROR(__xludf.DUMMYFUNCTION("IMPORTRANGE(""https://docs.google.com/spreadsheets/d/1IYY_tgx_IHuhSq3AJ5eI5OnqOPBNLWSHKh2a30DoXe8/edit?usp=sharing"",""ชุมพร!I265"")"),35)</f>
        <v>35</v>
      </c>
      <c r="J370" s="210">
        <f ca="1">IFERROR(__xludf.DUMMYFUNCTION("IMPORTRANGE(""https://docs.google.com/spreadsheets/d/1IYY_tgx_IHuhSq3AJ5eI5OnqOPBNLWSHKh2a30DoXe8/edit?usp=sharing"",""ชุมพร!J265"")"),35)</f>
        <v>35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IFERROR(__xludf.DUMMYFUNCTION("IMPORTRANGE(""https://docs.google.com/spreadsheets/d/1IYY_tgx_IHuhSq3AJ5eI5OnqOPBNLWSHKh2a30DoXe8/edit?usp=sharing"",""ชุมพร!I164"")"),0)</f>
        <v>0</v>
      </c>
      <c r="J371" s="195">
        <f ca="1">IFERROR(__xludf.DUMMYFUNCTION("IMPORTRANGE(""https://docs.google.com/spreadsheets/d/1IYY_tgx_IHuhSq3AJ5eI5OnqOPBNLWSHKh2a30DoXe8/edit?usp=sharing"",""ชุมพร!J164"")"),0)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IFERROR(__xludf.DUMMYFUNCTION("IMPORTRANGE(""https://docs.google.com/spreadsheets/d/1IYY_tgx_IHuhSq3AJ5eI5OnqOPBNLWSHKh2a30DoXe8/edit?usp=sharing"",""ชุมพร!I267"")"),35)</f>
        <v>35</v>
      </c>
      <c r="J372" s="195">
        <f ca="1">IFERROR(__xludf.DUMMYFUNCTION("IMPORTRANGE(""https://docs.google.com/spreadsheets/d/1IYY_tgx_IHuhSq3AJ5eI5OnqOPBNLWSHKh2a30DoXe8/edit?usp=sharing"",""ชุมพร!J267"")"),35)</f>
        <v>35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IFERROR(__xludf.DUMMYFUNCTION("IMPORTRANGE(""https://docs.google.com/spreadsheets/d/1IYY_tgx_IHuhSq3AJ5eI5OnqOPBNLWSHKh2a30DoXe8/edit?usp=sharing"",""ชุมพร!I164"")"),0)</f>
        <v>0</v>
      </c>
      <c r="J373" s="210">
        <f ca="1">IFERROR(__xludf.DUMMYFUNCTION("IMPORTRANGE(""https://docs.google.com/spreadsheets/d/1IYY_tgx_IHuhSq3AJ5eI5OnqOPBNLWSHKh2a30DoXe8/edit?usp=sharing"",""ชุมพร!J164"")"),0)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IFERROR(__xludf.DUMMYFUNCTION("IMPORTRANGE(""https://docs.google.com/spreadsheets/d/1IYY_tgx_IHuhSq3AJ5eI5OnqOPBNLWSHKh2a30DoXe8/edit?usp=sharing"",""ชุมพร!I164"")"),0)</f>
        <v>0</v>
      </c>
      <c r="J374" s="194">
        <f ca="1">IFERROR(__xludf.DUMMYFUNCTION("IMPORTRANGE(""https://docs.google.com/spreadsheets/d/1IYY_tgx_IHuhSq3AJ5eI5OnqOPBNLWSHKh2a30DoXe8/edit?usp=sharing"",""ชุมพร!J164"")"),0)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IFERROR(__xludf.DUMMYFUNCTION("IMPORTRANGE(""https://docs.google.com/spreadsheets/d/1IYY_tgx_IHuhSq3AJ5eI5OnqOPBNLWSHKh2a30DoXe8/edit?usp=sharing"",""ชุมพร!I270"")"),175)</f>
        <v>175</v>
      </c>
      <c r="J375" s="194">
        <f ca="1">IFERROR(__xludf.DUMMYFUNCTION("IMPORTRANGE(""https://docs.google.com/spreadsheets/d/1IYY_tgx_IHuhSq3AJ5eI5OnqOPBNLWSHKh2a30DoXe8/edit?usp=sharing"",""ชุมพร!J270"")"),175)</f>
        <v>175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IFERROR(__xludf.DUMMYFUNCTION("IMPORTRANGE(""https://docs.google.com/spreadsheets/d/1IYY_tgx_IHuhSq3AJ5eI5OnqOPBNLWSHKh2a30DoXe8/edit?usp=sharing"",""ชุมพร!I271"")"),50)</f>
        <v>50</v>
      </c>
      <c r="J376" s="195">
        <f ca="1">IFERROR(__xludf.DUMMYFUNCTION("IMPORTRANGE(""https://docs.google.com/spreadsheets/d/1IYY_tgx_IHuhSq3AJ5eI5OnqOPBNLWSHKh2a30DoXe8/edit?usp=sharing"",""ชุมพร!J271"")"),50)</f>
        <v>50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IFERROR(__xludf.DUMMYFUNCTION("IMPORTRANGE(""https://docs.google.com/spreadsheets/d/1IYY_tgx_IHuhSq3AJ5eI5OnqOPBNLWSHKh2a30DoXe8/edit?usp=sharing"",""ชุมพร!I272"")"),125)</f>
        <v>125</v>
      </c>
      <c r="J377" s="210">
        <f ca="1">IFERROR(__xludf.DUMMYFUNCTION("IMPORTRANGE(""https://docs.google.com/spreadsheets/d/1IYY_tgx_IHuhSq3AJ5eI5OnqOPBNLWSHKh2a30DoXe8/edit?usp=sharing"",""ชุมพร!J272"")"),125)</f>
        <v>125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IFERROR(__xludf.DUMMYFUNCTION("IMPORTRANGE(""https://docs.google.com/spreadsheets/d/1IYY_tgx_IHuhSq3AJ5eI5OnqOPBNLWSHKh2a30DoXe8/edit?usp=sharing"",""ชุมพร!J273"")"),0)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IFERROR(__xludf.DUMMYFUNCTION("IMPORTRANGE(""https://docs.google.com/spreadsheets/d/1IYY_tgx_IHuhSq3AJ5eI5OnqOPBNLWSHKh2a30DoXe8/edit?usp=sharing"",""ชุมพร!J274"")"),0)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IFERROR(__xludf.DUMMYFUNCTION("IMPORTRANGE(""https://docs.google.com/spreadsheets/d/1IYY_tgx_IHuhSq3AJ5eI5OnqOPBNLWSHKh2a30DoXe8/edit?usp=sharing"",""ชุมพร!M275"")"),427240)</f>
        <v>427240</v>
      </c>
      <c r="O380" s="379">
        <f ca="1">+IF(L380&gt;0,N380*100/L380,0)</f>
        <v>92.850002173251625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IFERROR(__xludf.DUMMYFUNCTION("IMPORTRANGE(""https://docs.google.com/spreadsheets/d/1IYY_tgx_IHuhSq3AJ5eI5OnqOPBNLWSHKh2a30DoXe8/edit?usp=sharing"",""ชุมพร!L277"")"),0)</f>
        <v>0</v>
      </c>
      <c r="M382" s="168"/>
      <c r="N382" s="168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IFERROR(__xludf.DUMMYFUNCTION("IMPORTRANGE(""https://docs.google.com/spreadsheets/d/1IYY_tgx_IHuhSq3AJ5eI5OnqOPBNLWSHKh2a30DoXe8/edit?usp=sharing"",""ชุมพร!M278"")"),427240)</f>
        <v>427240</v>
      </c>
      <c r="O383" s="169">
        <f t="shared" ca="1" si="109"/>
        <v>92.850002173251625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IFERROR(__xludf.DUMMYFUNCTION("IMPORTRANGE(""https://docs.google.com/spreadsheets/d/1IYY_tgx_IHuhSq3AJ5eI5OnqOPBNLWSHKh2a30DoXe8/edit?usp=sharing"",""ชุมพร!L279"")"),0)</f>
        <v>0</v>
      </c>
      <c r="M384" s="175"/>
      <c r="N384" s="175">
        <f ca="1">IFERROR(__xludf.DUMMYFUNCTION("IMPORTRANGE(""https://docs.google.com/spreadsheets/d/1IYY_tgx_IHuhSq3AJ5eI5OnqOPBNLWSHKh2a30DoXe8/edit?usp=sharing"",""ชุมพร!M279"")"),0)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IFERROR(__xludf.DUMMYFUNCTION("IMPORTRANGE(""https://docs.google.com/spreadsheets/d/1IYY_tgx_IHuhSq3AJ5eI5OnqOPBNLWSHKh2a30DoXe8/edit?usp=sharing"",""ชุมพร!L280"")"),460140)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IFERROR(__xludf.DUMMYFUNCTION("IMPORTRANGE(""https://docs.google.com/spreadsheets/d/1IYY_tgx_IHuhSq3AJ5eI5OnqOPBNLWSHKh2a30DoXe8/edit?usp=sharing"",""ชุมพร!M280"")"),427240)</f>
        <v>427240</v>
      </c>
      <c r="O385" s="175">
        <f t="shared" ca="1" si="109"/>
        <v>92.850002173251625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IFERROR(__xludf.DUMMYFUNCTION("IMPORTRANGE(""https://docs.google.com/spreadsheets/d/1IYY_tgx_IHuhSq3AJ5eI5OnqOPBNLWSHKh2a30DoXe8/edit?usp=sharing"",""ชุมพร!M281"")"),111000)</f>
        <v>111000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IFERROR(__xludf.DUMMYFUNCTION("IMPORTRANGE(""https://docs.google.com/spreadsheets/d/1IYY_tgx_IHuhSq3AJ5eI5OnqOPBNLWSHKh2a30DoXe8/edit?usp=sharing"",""ชุมพร!M282"")"),312500)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IFERROR(__xludf.DUMMYFUNCTION("IMPORTRANGE(""https://docs.google.com/spreadsheets/d/1IYY_tgx_IHuhSq3AJ5eI5OnqOPBNLWSHKh2a30DoXe8/edit?usp=sharing"",""ชุมพร!M284"")"),3740)</f>
        <v>3740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IFERROR(__xludf.DUMMYFUNCTION("IMPORTRANGE(""https://docs.google.com/spreadsheets/d/1IYY_tgx_IHuhSq3AJ5eI5OnqOPBNLWSHKh2a30DoXe8/edit?usp=sharing"",""ชุมพร!J286"")"),0)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IFERROR(__xludf.DUMMYFUNCTION("IMPORTRANGE(""https://docs.google.com/spreadsheets/d/1IYY_tgx_IHuhSq3AJ5eI5OnqOPBNLWSHKh2a30DoXe8/edit?usp=sharing"",""ชุมพร!J287"")"),1)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IFERROR(__xludf.DUMMYFUNCTION("IMPORTRANGE(""https://docs.google.com/spreadsheets/d/1IYY_tgx_IHuhSq3AJ5eI5OnqOPBNLWSHKh2a30DoXe8/edit?usp=sharing"",""ชุมพร!J288"")"),1)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IFERROR(__xludf.DUMMYFUNCTION("IMPORTRANGE(""https://docs.google.com/spreadsheets/d/1IYY_tgx_IHuhSq3AJ5eI5OnqOPBNLWSHKh2a30DoXe8/edit?usp=sharing"",""ชุมพร!J289"")"),1)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IFERROR(__xludf.DUMMYFUNCTION("IMPORTRANGE(""https://docs.google.com/spreadsheets/d/1IYY_tgx_IHuhSq3AJ5eI5OnqOPBNLWSHKh2a30DoXe8/edit?usp=sharing"",""ชุมพร!I291"")"),50)</f>
        <v>50</v>
      </c>
      <c r="J396" s="204">
        <f ca="1">IFERROR(__xludf.DUMMYFUNCTION("IMPORTRANGE(""https://docs.google.com/spreadsheets/d/1IYY_tgx_IHuhSq3AJ5eI5OnqOPBNLWSHKh2a30DoXe8/edit?usp=sharing"",""ชุมพร!J291"")"),50)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IFERROR(__xludf.DUMMYFUNCTION("IMPORTRANGE(""https://docs.google.com/spreadsheets/d/1IYY_tgx_IHuhSq3AJ5eI5OnqOPBNLWSHKh2a30DoXe8/edit?usp=sharing"",""ชุมพร!I292"")"),500)</f>
        <v>500</v>
      </c>
      <c r="J397" s="204">
        <f ca="1">IFERROR(__xludf.DUMMYFUNCTION("IMPORTRANGE(""https://docs.google.com/spreadsheets/d/1IYY_tgx_IHuhSq3AJ5eI5OnqOPBNLWSHKh2a30DoXe8/edit?usp=sharing"",""ชุมพร!J292"")"),500)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IFERROR(__xludf.DUMMYFUNCTION("IMPORTRANGE(""https://docs.google.com/spreadsheets/d/1IYY_tgx_IHuhSq3AJ5eI5OnqOPBNLWSHKh2a30DoXe8/edit?usp=sharing"",""ชุมพร!I293"")"),50)</f>
        <v>50</v>
      </c>
      <c r="J398" s="204">
        <f ca="1">IFERROR(__xludf.DUMMYFUNCTION("IMPORTRANGE(""https://docs.google.com/spreadsheets/d/1IYY_tgx_IHuhSq3AJ5eI5OnqOPBNLWSHKh2a30DoXe8/edit?usp=sharing"",""ชุมพร!J293"")"),50)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IFERROR(__xludf.DUMMYFUNCTION("IMPORTRANGE(""https://docs.google.com/spreadsheets/d/1IYY_tgx_IHuhSq3AJ5eI5OnqOPBNLWSHKh2a30DoXe8/edit?usp=sharing"",""ชุมพร!J294"")"),0)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IFERROR(__xludf.DUMMYFUNCTION("IMPORTRANGE(""https://docs.google.com/spreadsheets/d/1IYY_tgx_IHuhSq3AJ5eI5OnqOPBNLWSHKh2a30DoXe8/edit?usp=sharing"",""ชุมพร!J295"")"),0)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IFERROR(__xludf.DUMMYFUNCTION("IMPORTRANGE(""https://docs.google.com/spreadsheets/d/1IYY_tgx_IHuhSq3AJ5eI5OnqOPBNLWSHKh2a30DoXe8/edit?usp=sharing"",""ชุมพร!J296"")"),135)</f>
        <v>135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IFERROR(__xludf.DUMMYFUNCTION("IMPORTRANGE(""https://docs.google.com/spreadsheets/d/1IYY_tgx_IHuhSq3AJ5eI5OnqOPBNLWSHKh2a30DoXe8/edit?usp=sharing"",""ชุมพร!M296"")"),127205)</f>
        <v>127205</v>
      </c>
      <c r="O401" s="379">
        <f ca="1">+IF(L401&gt;0,N401*100/L401,0)</f>
        <v>79.527977492966556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IFERROR(__xludf.DUMMYFUNCTION("IMPORTRANGE(""https://docs.google.com/spreadsheets/d/1IYY_tgx_IHuhSq3AJ5eI5OnqOPBNLWSHKh2a30DoXe8/edit?usp=sharing"",""ชุมพร!J297"")"),45)</f>
        <v>45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IFERROR(__xludf.DUMMYFUNCTION("IMPORTRANGE(""https://docs.google.com/spreadsheets/d/1IYY_tgx_IHuhSq3AJ5eI5OnqOPBNLWSHKh2a30DoXe8/edit?usp=sharing"",""ชุมพร!L298"")"),0)</f>
        <v>0</v>
      </c>
      <c r="M403" s="168"/>
      <c r="N403" s="175">
        <f ca="1">IFERROR(__xludf.DUMMYFUNCTION("IMPORTRANGE(""https://docs.google.com/spreadsheets/d/1IYY_tgx_IHuhSq3AJ5eI5OnqOPBNLWSHKh2a30DoXe8/edit?usp=sharing"",""ชุมพร!M298"")"),0)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IFERROR(__xludf.DUMMYFUNCTION("IMPORTRANGE(""https://docs.google.com/spreadsheets/d/1IYY_tgx_IHuhSq3AJ5eI5OnqOPBNLWSHKh2a30DoXe8/edit?usp=sharing"",""ชุมพร!M299"")"),127205)</f>
        <v>127205</v>
      </c>
      <c r="O404" s="175">
        <f t="shared" ca="1" si="112"/>
        <v>79.527977492966556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IFERROR(__xludf.DUMMYFUNCTION("IMPORTRANGE(""https://docs.google.com/spreadsheets/d/1IYY_tgx_IHuhSq3AJ5eI5OnqOPBNLWSHKh2a30DoXe8/edit?usp=sharing"",""ชุมพร!L300"")"),0)</f>
        <v>0</v>
      </c>
      <c r="M405" s="175"/>
      <c r="N405" s="175">
        <f ca="1">IFERROR(__xludf.DUMMYFUNCTION("IMPORTRANGE(""https://docs.google.com/spreadsheets/d/1IYY_tgx_IHuhSq3AJ5eI5OnqOPBNLWSHKh2a30DoXe8/edit?usp=sharing"",""ชุมพร!M300"")"),0)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IFERROR(__xludf.DUMMYFUNCTION("IMPORTRANGE(""https://docs.google.com/spreadsheets/d/1IYY_tgx_IHuhSq3AJ5eI5OnqOPBNLWSHKh2a30DoXe8/edit?usp=sharing"",""ชุมพร!L301"")"),159950)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IFERROR(__xludf.DUMMYFUNCTION("IMPORTRANGE(""https://docs.google.com/spreadsheets/d/1IYY_tgx_IHuhSq3AJ5eI5OnqOPBNLWSHKh2a30DoXe8/edit?usp=sharing"",""ชุมพร!M301"")"),127205)</f>
        <v>127205</v>
      </c>
      <c r="O406" s="175">
        <f t="shared" ca="1" si="112"/>
        <v>79.527977492966556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IFERROR(__xludf.DUMMYFUNCTION("IMPORTRANGE(""https://docs.google.com/spreadsheets/d/1IYY_tgx_IHuhSq3AJ5eI5OnqOPBNLWSHKh2a30DoXe8/edit?usp=sharing"",""ชุมพร!M302"")"),94993)</f>
        <v>94993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IFERROR(__xludf.DUMMYFUNCTION("IMPORTRANGE(""https://docs.google.com/spreadsheets/d/1IYY_tgx_IHuhSq3AJ5eI5OnqOPBNLWSHKh2a30DoXe8/edit?usp=sharing"",""ชุมพร!M303"")"),17450)</f>
        <v>17450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IFERROR(__xludf.DUMMYFUNCTION("IMPORTRANGE(""https://docs.google.com/spreadsheets/d/1IYY_tgx_IHuhSq3AJ5eI5OnqOPBNLWSHKh2a30DoXe8/edit?usp=sharing"",""ชุมพร!M305"")"),14762)</f>
        <v>14762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IFERROR(__xludf.DUMMYFUNCTION("IMPORTRANGE(""https://docs.google.com/spreadsheets/d/1IYY_tgx_IHuhSq3AJ5eI5OnqOPBNLWSHKh2a30DoXe8/edit?usp=sharing"",""ชุมพร!J307"")"),0)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IFERROR(__xludf.DUMMYFUNCTION("IMPORTRANGE(""https://docs.google.com/spreadsheets/d/1IYY_tgx_IHuhSq3AJ5eI5OnqOPBNLWSHKh2a30DoXe8/edit?usp=sharing"",""ชุมพร!J308"")"),1)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IFERROR(__xludf.DUMMYFUNCTION("IMPORTRANGE(""https://docs.google.com/spreadsheets/d/1IYY_tgx_IHuhSq3AJ5eI5OnqOPBNLWSHKh2a30DoXe8/edit?usp=sharing"",""ชุมพร!J309"")"),1)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IFERROR(__xludf.DUMMYFUNCTION("IMPORTRANGE(""https://docs.google.com/spreadsheets/d/1IYY_tgx_IHuhSq3AJ5eI5OnqOPBNLWSHKh2a30DoXe8/edit?usp=sharing"",""ชุมพร!J310"")"),1)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IFERROR(__xludf.DUMMYFUNCTION("IMPORTRANGE(""https://docs.google.com/spreadsheets/d/1IYY_tgx_IHuhSq3AJ5eI5OnqOPBNLWSHKh2a30DoXe8/edit?usp=sharing"",""ชุมพร!I311"")"),45)</f>
        <v>45</v>
      </c>
      <c r="J416" s="207">
        <f ca="1">IFERROR(__xludf.DUMMYFUNCTION("IMPORTRANGE(""https://docs.google.com/spreadsheets/d/1IYY_tgx_IHuhSq3AJ5eI5OnqOPBNLWSHKh2a30DoXe8/edit?usp=sharing"",""ชุมพร!J311"")"),45)</f>
        <v>45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IFERROR(__xludf.DUMMYFUNCTION("IMPORTRANGE(""https://docs.google.com/spreadsheets/d/1IYY_tgx_IHuhSq3AJ5eI5OnqOPBNLWSHKh2a30DoXe8/edit?usp=sharing"",""ชุมพร!J325"")"),35)</f>
        <v>35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IFERROR(__xludf.DUMMYFUNCTION("IMPORTRANGE(""https://docs.google.com/spreadsheets/d/1IYY_tgx_IHuhSq3AJ5eI5OnqOPBNLWSHKh2a30DoXe8/edit?usp=sharing"",""ชุมพร!J327"")"),25)</f>
        <v>25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IFERROR(__xludf.DUMMYFUNCTION("IMPORTRANGE(""https://docs.google.com/spreadsheets/d/1IYY_tgx_IHuhSq3AJ5eI5OnqOPBNLWSHKh2a30DoXe8/edit?usp=sharing"",""ชุมพร!J328"")"),0)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IFERROR(__xludf.DUMMYFUNCTION("IMPORTRANGE(""https://docs.google.com/spreadsheets/d/1IYY_tgx_IHuhSq3AJ5eI5OnqOPBNLWSHKh2a30DoXe8/edit?usp=sharing"",""ชุมพร!J329"")"),0)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IFERROR(__xludf.DUMMYFUNCTION("IMPORTRANGE(""https://docs.google.com/spreadsheets/d/1IYY_tgx_IHuhSq3AJ5eI5OnqOPBNLWSHKh2a30DoXe8/edit?usp=sharing"",""ชุมพร!M330"")"),197600)</f>
        <v>197600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IFERROR(__xludf.DUMMYFUNCTION("IMPORTRANGE(""https://docs.google.com/spreadsheets/d/1IYY_tgx_IHuhSq3AJ5eI5OnqOPBNLWSHKh2a30DoXe8/edit?usp=sharing"",""ชุมพร!L331"")"),0)</f>
        <v>0</v>
      </c>
      <c r="M436" s="168"/>
      <c r="N436" s="175">
        <f ca="1">IFERROR(__xludf.DUMMYFUNCTION("IMPORTRANGE(""https://docs.google.com/spreadsheets/d/1IYY_tgx_IHuhSq3AJ5eI5OnqOPBNLWSHKh2a30DoXe8/edit?usp=sharing"",""ชุมพร!M331"")"),0)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IFERROR(__xludf.DUMMYFUNCTION("IMPORTRANGE(""https://docs.google.com/spreadsheets/d/1IYY_tgx_IHuhSq3AJ5eI5OnqOPBNLWSHKh2a30DoXe8/edit?usp=sharing"",""ชุมพร!L332"")"),197600)</f>
        <v>197600</v>
      </c>
      <c r="M437" s="169"/>
      <c r="N437" s="175">
        <f ca="1">IFERROR(__xludf.DUMMYFUNCTION("IMPORTRANGE(""https://docs.google.com/spreadsheets/d/1IYY_tgx_IHuhSq3AJ5eI5OnqOPBNLWSHKh2a30DoXe8/edit?usp=sharing"",""ชุมพร!M332"")"),197600)</f>
        <v>197600</v>
      </c>
      <c r="O437" s="175">
        <f t="shared" ca="1" si="114"/>
        <v>100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IFERROR(__xludf.DUMMYFUNCTION("IMPORTRANGE(""https://docs.google.com/spreadsheets/d/1IYY_tgx_IHuhSq3AJ5eI5OnqOPBNLWSHKh2a30DoXe8/edit?usp=sharing"",""ชุมพร!L333"")"),0)</f>
        <v>0</v>
      </c>
      <c r="M438" s="175"/>
      <c r="N438" s="175">
        <f ca="1">IFERROR(__xludf.DUMMYFUNCTION("IMPORTRANGE(""https://docs.google.com/spreadsheets/d/1IYY_tgx_IHuhSq3AJ5eI5OnqOPBNLWSHKh2a30DoXe8/edit?usp=sharing"",""ชุมพร!M333"")"),0)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IFERROR(__xludf.DUMMYFUNCTION("IMPORTRANGE(""https://docs.google.com/spreadsheets/d/1IYY_tgx_IHuhSq3AJ5eI5OnqOPBNLWSHKh2a30DoXe8/edit?usp=sharing"",""ชุมพร!L334"")"),197600)</f>
        <v>197600</v>
      </c>
      <c r="M439" s="175"/>
      <c r="N439" s="175">
        <f ca="1">IFERROR(__xludf.DUMMYFUNCTION("IMPORTRANGE(""https://docs.google.com/spreadsheets/d/1IYY_tgx_IHuhSq3AJ5eI5OnqOPBNLWSHKh2a30DoXe8/edit?usp=sharing"",""ชุมพร!M334"")"),197600)</f>
        <v>197600</v>
      </c>
      <c r="O439" s="175">
        <f t="shared" ca="1" si="114"/>
        <v>100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IFERROR(__xludf.DUMMYFUNCTION("IMPORTRANGE(""https://docs.google.com/spreadsheets/d/1IYY_tgx_IHuhSq3AJ5eI5OnqOPBNLWSHKh2a30DoXe8/edit?usp=sharing"",""ชุมพร!M335"")"),128780)</f>
        <v>128780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IFERROR(__xludf.DUMMYFUNCTION("IMPORTRANGE(""https://docs.google.com/spreadsheets/d/1IYY_tgx_IHuhSq3AJ5eI5OnqOPBNLWSHKh2a30DoXe8/edit?usp=sharing"",""ชุมพร!M338"")"),68820)</f>
        <v>68820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IFERROR(__xludf.DUMMYFUNCTION("IMPORTRANGE(""https://docs.google.com/spreadsheets/d/1IYY_tgx_IHuhSq3AJ5eI5OnqOPBNLWSHKh2a30DoXe8/edit?usp=sharing"",""ชุมพร!J340"")"),0)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IFERROR(__xludf.DUMMYFUNCTION("IMPORTRANGE(""https://docs.google.com/spreadsheets/d/1IYY_tgx_IHuhSq3AJ5eI5OnqOPBNLWSHKh2a30DoXe8/edit?usp=sharing"",""ชุมพร!J341"")"),1)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IFERROR(__xludf.DUMMYFUNCTION("IMPORTRANGE(""https://docs.google.com/spreadsheets/d/1IYY_tgx_IHuhSq3AJ5eI5OnqOPBNLWSHKh2a30DoXe8/edit?usp=sharing"",""ชุมพร!J342"")"),1)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IFERROR(__xludf.DUMMYFUNCTION("IMPORTRANGE(""https://docs.google.com/spreadsheets/d/1IYY_tgx_IHuhSq3AJ5eI5OnqOPBNLWSHKh2a30DoXe8/edit?usp=sharing"",""ชุมพร!J343"")"),1)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7">
        <f ca="1">IFERROR(__xludf.DUMMYFUNCTION("IMPORTRANGE(""https://docs.google.com/spreadsheets/d/1IYY_tgx_IHuhSq3AJ5eI5OnqOPBNLWSHKh2a30DoXe8/edit?usp=sharing"",""ชุมพร!J344"")"),60)</f>
        <v>60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5">
        <f ca="1">IFERROR(__xludf.DUMMYFUNCTION("IMPORTRANGE(""https://docs.google.com/spreadsheets/d/1IYY_tgx_IHuhSq3AJ5eI5OnqOPBNLWSHKh2a30DoXe8/edit?usp=sharing"",""ชุมพร!J345"")"),20)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4">
        <f ca="1">IFERROR(__xludf.DUMMYFUNCTION("IMPORTRANGE(""https://docs.google.com/spreadsheets/d/1IYY_tgx_IHuhSq3AJ5eI5OnqOPBNLWSHKh2a30DoXe8/edit?usp=sharing"",""ชุมพร!J346"")"),40)</f>
        <v>40</v>
      </c>
      <c r="K451" s="167">
        <f t="shared" ca="1" si="115"/>
        <v>100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IFERROR(__xludf.DUMMYFUNCTION("IMPORTRANGE(""https://docs.google.com/spreadsheets/d/1IYY_tgx_IHuhSq3AJ5eI5OnqOPBNLWSHKh2a30DoXe8/edit?usp=sharing"",""ชุมพร!I347"")"),0)</f>
        <v>0</v>
      </c>
      <c r="J452" s="194">
        <f ca="1">IFERROR(__xludf.DUMMYFUNCTION("IMPORTRANGE(""https://docs.google.com/spreadsheets/d/1IYY_tgx_IHuhSq3AJ5eI5OnqOPBNLWSHKh2a30DoXe8/edit?usp=sharing"",""ชุมพร!J347"")"),0)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IFERROR(__xludf.DUMMYFUNCTION("IMPORTRANGE(""https://docs.google.com/spreadsheets/d/1IYY_tgx_IHuhSq3AJ5eI5OnqOPBNLWSHKh2a30DoXe8/edit?usp=sharing"",""ชุมพร!J348"")"),1)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IFERROR(__xludf.DUMMYFUNCTION("IMPORTRANGE(""https://docs.google.com/spreadsheets/d/1IYY_tgx_IHuhSq3AJ5eI5OnqOPBNLWSHKh2a30DoXe8/edit?usp=sharing"",""ชุมพร!J349"")"),1)</f>
        <v>1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IFERROR(__xludf.DUMMYFUNCTION("IMPORTRANGE(""https://docs.google.com/spreadsheets/d/1IYY_tgx_IHuhSq3AJ5eI5OnqOPBNLWSHKh2a30DoXe8/edit?usp=sharing"",""ชุมพร!J350"")"),120452)</f>
        <v>120452</v>
      </c>
      <c r="K455" s="378">
        <f ca="1">IF(I455&gt;0,J455*100/I455,0)</f>
        <v>111.43985863239797</v>
      </c>
      <c r="L455" s="379">
        <f ca="1">IFERROR(__xludf.DUMMYFUNCTION("IMPORTRANGE(""https://docs.google.com/spreadsheets/d/1IYY_tgx_IHuhSq3AJ5eI5OnqOPBNLWSHKh2a30DoXe8/edit?usp=sharing"",""ชุมพร!L350"")"),710357)</f>
        <v>710357</v>
      </c>
      <c r="M455" s="379"/>
      <c r="N455" s="379">
        <f ca="1">IFERROR(__xludf.DUMMYFUNCTION("IMPORTRANGE(""https://docs.google.com/spreadsheets/d/1IYY_tgx_IHuhSq3AJ5eI5OnqOPBNLWSHKh2a30DoXe8/edit?usp=sharing"",""ชุมพร!M350"")"),297936.62)</f>
        <v>297936.62</v>
      </c>
      <c r="O455" s="379">
        <f t="shared" ref="O455:O459" ca="1" si="116">+IF(L455&gt;0,N455*100/L455,0)</f>
        <v>41.941815171807981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IFERROR(__xludf.DUMMYFUNCTION("IMPORTRANGE(""https://docs.google.com/spreadsheets/d/1IYY_tgx_IHuhSq3AJ5eI5OnqOPBNLWSHKh2a30DoXe8/edit?usp=sharing"",""ชุมพร!L351"")"),0)</f>
        <v>0</v>
      </c>
      <c r="M456" s="168"/>
      <c r="N456" s="175">
        <f ca="1">IFERROR(__xludf.DUMMYFUNCTION("IMPORTRANGE(""https://docs.google.com/spreadsheets/d/1IYY_tgx_IHuhSq3AJ5eI5OnqOPBNLWSHKh2a30DoXe8/edit?usp=sharing"",""ชุมพร!M351"")"),0)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IFERROR(__xludf.DUMMYFUNCTION("IMPORTRANGE(""https://docs.google.com/spreadsheets/d/1IYY_tgx_IHuhSq3AJ5eI5OnqOPBNLWSHKh2a30DoXe8/edit?usp=sharing"",""ชุมพร!L352"")"),710357)</f>
        <v>710357</v>
      </c>
      <c r="M457" s="169"/>
      <c r="N457" s="175">
        <f ca="1">IFERROR(__xludf.DUMMYFUNCTION("IMPORTRANGE(""https://docs.google.com/spreadsheets/d/1IYY_tgx_IHuhSq3AJ5eI5OnqOPBNLWSHKh2a30DoXe8/edit?usp=sharing"",""ชุมพร!M352"")"),297936.62)</f>
        <v>297936.62</v>
      </c>
      <c r="O457" s="175">
        <f t="shared" ca="1" si="116"/>
        <v>41.941815171807981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IFERROR(__xludf.DUMMYFUNCTION("IMPORTRANGE(""https://docs.google.com/spreadsheets/d/1IYY_tgx_IHuhSq3AJ5eI5OnqOPBNLWSHKh2a30DoXe8/edit?usp=sharing"",""ชุมพร!L353"")"),0)</f>
        <v>0</v>
      </c>
      <c r="M458" s="175"/>
      <c r="N458" s="175">
        <f ca="1">IFERROR(__xludf.DUMMYFUNCTION("IMPORTRANGE(""https://docs.google.com/spreadsheets/d/1IYY_tgx_IHuhSq3AJ5eI5OnqOPBNLWSHKh2a30DoXe8/edit?usp=sharing"",""ชุมพร!M353"")"),0)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IFERROR(__xludf.DUMMYFUNCTION("IMPORTRANGE(""https://docs.google.com/spreadsheets/d/1IYY_tgx_IHuhSq3AJ5eI5OnqOPBNLWSHKh2a30DoXe8/edit?usp=sharing"",""ชุมพร!L354"")"),710357)</f>
        <v>710357</v>
      </c>
      <c r="M459" s="175"/>
      <c r="N459" s="175">
        <f ca="1">IFERROR(__xludf.DUMMYFUNCTION("IMPORTRANGE(""https://docs.google.com/spreadsheets/d/1IYY_tgx_IHuhSq3AJ5eI5OnqOPBNLWSHKh2a30DoXe8/edit?usp=sharing"",""ชุมพร!M354"")"),297936.62)</f>
        <v>297936.62</v>
      </c>
      <c r="O459" s="175">
        <f t="shared" ca="1" si="116"/>
        <v>41.941815171807981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IFERROR(__xludf.DUMMYFUNCTION("IMPORTRANGE(""https://docs.google.com/spreadsheets/d/1IYY_tgx_IHuhSq3AJ5eI5OnqOPBNLWSHKh2a30DoXe8/edit?usp=sharing"",""ชุมพร!M355"")"),0)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IFERROR(__xludf.DUMMYFUNCTION("IMPORTRANGE(""https://docs.google.com/spreadsheets/d/1IYY_tgx_IHuhSq3AJ5eI5OnqOPBNLWSHKh2a30DoXe8/edit?usp=sharing"",""ชุมพร!M356"")"),0)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IFERROR(__xludf.DUMMYFUNCTION("IMPORTRANGE(""https://docs.google.com/spreadsheets/d/1IYY_tgx_IHuhSq3AJ5eI5OnqOPBNLWSHKh2a30DoXe8/edit?usp=sharing"",""ชุมพร!M357"")"),74808)</f>
        <v>74808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IFERROR(__xludf.DUMMYFUNCTION("IMPORTRANGE(""https://docs.google.com/spreadsheets/d/1IYY_tgx_IHuhSq3AJ5eI5OnqOPBNLWSHKh2a30DoXe8/edit?usp=sharing"",""ชุมพร!M358"")"),223128.62)</f>
        <v>223128.62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IFERROR(__xludf.DUMMYFUNCTION("IMPORTRANGE(""https://docs.google.com/spreadsheets/d/1IYY_tgx_IHuhSq3AJ5eI5OnqOPBNLWSHKh2a30DoXe8/edit?usp=sharing"",""ชุมพร!I359"")"),108087)</f>
        <v>108087</v>
      </c>
      <c r="J464" s="273">
        <f ca="1">IFERROR(__xludf.DUMMYFUNCTION("IMPORTRANGE(""https://docs.google.com/spreadsheets/d/1IYY_tgx_IHuhSq3AJ5eI5OnqOPBNLWSHKh2a30DoXe8/edit?usp=sharing"",""ชุมพร!J359"")"),120452)</f>
        <v>120452</v>
      </c>
      <c r="K464" s="274">
        <f t="shared" ref="K464:K515" ca="1" si="117">IF(I464&gt;0,J464*100/I464,0)</f>
        <v>111.43985863239797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8">
        <f t="shared" ca="1" si="117"/>
        <v>100.00092518064152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IFERROR(__xludf.DUMMYFUNCTION("IMPORTRANGE(""https://docs.google.com/spreadsheets/d/1IYY_tgx_IHuhSq3AJ5eI5OnqOPBNLWSHKh2a30DoXe8/edit?usp=sharing"",""ชุมพร!I362"")"),0)</f>
        <v>0</v>
      </c>
      <c r="J467" s="195">
        <f ca="1">IFERROR(__xludf.DUMMYFUNCTION("IMPORTRANGE(""https://docs.google.com/spreadsheets/d/1IYY_tgx_IHuhSq3AJ5eI5OnqOPBNLWSHKh2a30DoXe8/edit?usp=sharing"",""ชุมพร!J362"")"),90777)</f>
        <v>90777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IFERROR(__xludf.DUMMYFUNCTION("IMPORTRANGE(""https://docs.google.com/spreadsheets/d/1IYY_tgx_IHuhSq3AJ5eI5OnqOPBNLWSHKh2a30DoXe8/edit?usp=sharing"",""ชุมพร!I363"")"),0)</f>
        <v>0</v>
      </c>
      <c r="J468" s="195">
        <f ca="1">IFERROR(__xludf.DUMMYFUNCTION("IMPORTRANGE(""https://docs.google.com/spreadsheets/d/1IYY_tgx_IHuhSq3AJ5eI5OnqOPBNLWSHKh2a30DoXe8/edit?usp=sharing"",""ชุมพร!J363"")"),8917)</f>
        <v>8917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IFERROR(__xludf.DUMMYFUNCTION("IMPORTRANGE(""https://docs.google.com/spreadsheets/d/1IYY_tgx_IHuhSq3AJ5eI5OnqOPBNLWSHKh2a30DoXe8/edit?usp=sharing"",""ชุมพร!I364"")"),0)</f>
        <v>0</v>
      </c>
      <c r="J469" s="195">
        <f ca="1">IFERROR(__xludf.DUMMYFUNCTION("IMPORTRANGE(""https://docs.google.com/spreadsheets/d/1IYY_tgx_IHuhSq3AJ5eI5OnqOPBNLWSHKh2a30DoXe8/edit?usp=sharing"",""ชุมพร!J364"")"),15323)</f>
        <v>15323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IFERROR(__xludf.DUMMYFUNCTION("IMPORTRANGE(""https://docs.google.com/spreadsheets/d/1IYY_tgx_IHuhSq3AJ5eI5OnqOPBNLWSHKh2a30DoXe8/edit?usp=sharing"",""ชุมพร!I365"")"),0)</f>
        <v>0</v>
      </c>
      <c r="J470" s="195">
        <f ca="1">IFERROR(__xludf.DUMMYFUNCTION("IMPORTRANGE(""https://docs.google.com/spreadsheets/d/1IYY_tgx_IHuhSq3AJ5eI5OnqOPBNLWSHKh2a30DoXe8/edit?usp=sharing"",""ชุมพร!J365"")"),1533)</f>
        <v>1533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IFERROR(__xludf.DUMMYFUNCTION("IMPORTRANGE(""https://docs.google.com/spreadsheets/d/1IYY_tgx_IHuhSq3AJ5eI5OnqOPBNLWSHKh2a30DoXe8/edit?usp=sharing"",""ชุมพร!I366"")"),0)</f>
        <v>0</v>
      </c>
      <c r="J471" s="195">
        <f ca="1">IFERROR(__xludf.DUMMYFUNCTION("IMPORTRANGE(""https://docs.google.com/spreadsheets/d/1IYY_tgx_IHuhSq3AJ5eI5OnqOPBNLWSHKh2a30DoXe8/edit?usp=sharing"",""ชุมพร!J366"")"),1988)</f>
        <v>1988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IFERROR(__xludf.DUMMYFUNCTION("IMPORTRANGE(""https://docs.google.com/spreadsheets/d/1IYY_tgx_IHuhSq3AJ5eI5OnqOPBNLWSHKh2a30DoXe8/edit?usp=sharing"",""ชุมพร!I367"")"),0)</f>
        <v>0</v>
      </c>
      <c r="J472" s="195">
        <f ca="1">IFERROR(__xludf.DUMMYFUNCTION("IMPORTRANGE(""https://docs.google.com/spreadsheets/d/1IYY_tgx_IHuhSq3AJ5eI5OnqOPBNLWSHKh2a30DoXe8/edit?usp=sharing"",""ชุมพร!J367"")"),191)</f>
        <v>191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IFERROR(__xludf.DUMMYFUNCTION("IMPORTRANGE(""https://docs.google.com/spreadsheets/d/1IYY_tgx_IHuhSq3AJ5eI5OnqOPBNLWSHKh2a30DoXe8/edit?usp=sharing"",""ชุมพร!J368"")"),108088)</f>
        <v>108088</v>
      </c>
      <c r="K473" s="208">
        <f t="shared" ca="1" si="117"/>
        <v>100.00092518064152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IFERROR(__xludf.DUMMYFUNCTION("IMPORTRANGE(""https://docs.google.com/spreadsheets/d/1IYY_tgx_IHuhSq3AJ5eI5OnqOPBNLWSHKh2a30DoXe8/edit?usp=sharing"",""ชุมพร!J369"")"),10641)</f>
        <v>10641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IFERROR(__xludf.DUMMYFUNCTION("IMPORTRANGE(""https://docs.google.com/spreadsheets/d/1IYY_tgx_IHuhSq3AJ5eI5OnqOPBNLWSHKh2a30DoXe8/edit?usp=sharing"",""ชุมพร!I370"")"),0)</f>
        <v>0</v>
      </c>
      <c r="J475" s="195">
        <f ca="1">IFERROR(__xludf.DUMMYFUNCTION("IMPORTRANGE(""https://docs.google.com/spreadsheets/d/1IYY_tgx_IHuhSq3AJ5eI5OnqOPBNLWSHKh2a30DoXe8/edit?usp=sharing"",""ชุมพร!J370"")"),93784)</f>
        <v>93784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IFERROR(__xludf.DUMMYFUNCTION("IMPORTRANGE(""https://docs.google.com/spreadsheets/d/1IYY_tgx_IHuhSq3AJ5eI5OnqOPBNLWSHKh2a30DoXe8/edit?usp=sharing"",""ชุมพร!I371"")"),0)</f>
        <v>0</v>
      </c>
      <c r="J476" s="195">
        <f ca="1">IFERROR(__xludf.DUMMYFUNCTION("IMPORTRANGE(""https://docs.google.com/spreadsheets/d/1IYY_tgx_IHuhSq3AJ5eI5OnqOPBNLWSHKh2a30DoXe8/edit?usp=sharing"",""ชุมพร!J371"")"),9222)</f>
        <v>9222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IFERROR(__xludf.DUMMYFUNCTION("IMPORTRANGE(""https://docs.google.com/spreadsheets/d/1IYY_tgx_IHuhSq3AJ5eI5OnqOPBNLWSHKh2a30DoXe8/edit?usp=sharing"",""ชุมพร!I372"")"),0)</f>
        <v>0</v>
      </c>
      <c r="J477" s="195">
        <f ca="1">IFERROR(__xludf.DUMMYFUNCTION("IMPORTRANGE(""https://docs.google.com/spreadsheets/d/1IYY_tgx_IHuhSq3AJ5eI5OnqOPBNLWSHKh2a30DoXe8/edit?usp=sharing"",""ชุมพร!J372"")"),12148)</f>
        <v>12148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IFERROR(__xludf.DUMMYFUNCTION("IMPORTRANGE(""https://docs.google.com/spreadsheets/d/1IYY_tgx_IHuhSq3AJ5eI5OnqOPBNLWSHKh2a30DoXe8/edit?usp=sharing"",""ชุมพร!I373"")"),0)</f>
        <v>0</v>
      </c>
      <c r="J478" s="195">
        <f ca="1">IFERROR(__xludf.DUMMYFUNCTION("IMPORTRANGE(""https://docs.google.com/spreadsheets/d/1IYY_tgx_IHuhSq3AJ5eI5OnqOPBNLWSHKh2a30DoXe8/edit?usp=sharing"",""ชุมพร!J373"")"),1203)</f>
        <v>1203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IFERROR(__xludf.DUMMYFUNCTION("IMPORTRANGE(""https://docs.google.com/spreadsheets/d/1IYY_tgx_IHuhSq3AJ5eI5OnqOPBNLWSHKh2a30DoXe8/edit?usp=sharing"",""ชุมพร!I374"")"),0)</f>
        <v>0</v>
      </c>
      <c r="J479" s="195">
        <f ca="1">IFERROR(__xludf.DUMMYFUNCTION("IMPORTRANGE(""https://docs.google.com/spreadsheets/d/1IYY_tgx_IHuhSq3AJ5eI5OnqOPBNLWSHKh2a30DoXe8/edit?usp=sharing"",""ชุมพร!J374"")"),2156)</f>
        <v>2156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IFERROR(__xludf.DUMMYFUNCTION("IMPORTRANGE(""https://docs.google.com/spreadsheets/d/1IYY_tgx_IHuhSq3AJ5eI5OnqOPBNLWSHKh2a30DoXe8/edit?usp=sharing"",""ชุมพร!I375"")"),0)</f>
        <v>0</v>
      </c>
      <c r="J480" s="195">
        <f ca="1">IFERROR(__xludf.DUMMYFUNCTION("IMPORTRANGE(""https://docs.google.com/spreadsheets/d/1IYY_tgx_IHuhSq3AJ5eI5OnqOPBNLWSHKh2a30DoXe8/edit?usp=sharing"",""ชุมพร!J375"")"),216)</f>
        <v>216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IFERROR(__xludf.DUMMYFUNCTION("IMPORTRANGE(""https://docs.google.com/spreadsheets/d/1IYY_tgx_IHuhSq3AJ5eI5OnqOPBNLWSHKh2a30DoXe8/edit?usp=sharing"",""ชุมพร!J376"")"),120452)</f>
        <v>120452</v>
      </c>
      <c r="K481" s="208">
        <f t="shared" ca="1" si="117"/>
        <v>111.43985863239797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IFERROR(__xludf.DUMMYFUNCTION("IMPORTRANGE(""https://docs.google.com/spreadsheets/d/1IYY_tgx_IHuhSq3AJ5eI5OnqOPBNLWSHKh2a30DoXe8/edit?usp=sharing"",""ชุมพร!J377"")"),11868)</f>
        <v>11868</v>
      </c>
      <c r="K482" s="167">
        <f t="shared" ca="1" si="117"/>
        <v>111.53087115872569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IFERROR(__xludf.DUMMYFUNCTION("IMPORTRANGE(""https://docs.google.com/spreadsheets/d/1IYY_tgx_IHuhSq3AJ5eI5OnqOPBNLWSHKh2a30DoXe8/edit?usp=sharing"",""ชุมพร!I378"")"),0)</f>
        <v>0</v>
      </c>
      <c r="J483" s="195">
        <f ca="1">IFERROR(__xludf.DUMMYFUNCTION("IMPORTRANGE(""https://docs.google.com/spreadsheets/d/1IYY_tgx_IHuhSq3AJ5eI5OnqOPBNLWSHKh2a30DoXe8/edit?usp=sharing"",""ชุมพร!J378"")"),93784)</f>
        <v>93784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IFERROR(__xludf.DUMMYFUNCTION("IMPORTRANGE(""https://docs.google.com/spreadsheets/d/1IYY_tgx_IHuhSq3AJ5eI5OnqOPBNLWSHKh2a30DoXe8/edit?usp=sharing"",""ชุมพร!I379"")"),0)</f>
        <v>0</v>
      </c>
      <c r="J484" s="195">
        <f ca="1">IFERROR(__xludf.DUMMYFUNCTION("IMPORTRANGE(""https://docs.google.com/spreadsheets/d/1IYY_tgx_IHuhSq3AJ5eI5OnqOPBNLWSHKh2a30DoXe8/edit?usp=sharing"",""ชุมพร!J379"")"),9222)</f>
        <v>9222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IFERROR(__xludf.DUMMYFUNCTION("IMPORTRANGE(""https://docs.google.com/spreadsheets/d/1IYY_tgx_IHuhSq3AJ5eI5OnqOPBNLWSHKh2a30DoXe8/edit?usp=sharing"",""ชุมพร!I380"")"),0)</f>
        <v>0</v>
      </c>
      <c r="J485" s="195">
        <f ca="1">IFERROR(__xludf.DUMMYFUNCTION("IMPORTRANGE(""https://docs.google.com/spreadsheets/d/1IYY_tgx_IHuhSq3AJ5eI5OnqOPBNLWSHKh2a30DoXe8/edit?usp=sharing"",""ชุมพร!J380"")"),12256)</f>
        <v>12256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IFERROR(__xludf.DUMMYFUNCTION("IMPORTRANGE(""https://docs.google.com/spreadsheets/d/1IYY_tgx_IHuhSq3AJ5eI5OnqOPBNLWSHKh2a30DoXe8/edit?usp=sharing"",""ชุมพร!I381"")"),0)</f>
        <v>0</v>
      </c>
      <c r="J486" s="195">
        <f ca="1">IFERROR(__xludf.DUMMYFUNCTION("IMPORTRANGE(""https://docs.google.com/spreadsheets/d/1IYY_tgx_IHuhSq3AJ5eI5OnqOPBNLWSHKh2a30DoXe8/edit?usp=sharing"",""ชุมพร!J381"")"),1215)</f>
        <v>1215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IFERROR(__xludf.DUMMYFUNCTION("IMPORTRANGE(""https://docs.google.com/spreadsheets/d/1IYY_tgx_IHuhSq3AJ5eI5OnqOPBNLWSHKh2a30DoXe8/edit?usp=sharing"",""ชุมพร!J382"")"),2156)</f>
        <v>2156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IFERROR(__xludf.DUMMYFUNCTION("IMPORTRANGE(""https://docs.google.com/spreadsheets/d/1IYY_tgx_IHuhSq3AJ5eI5OnqOPBNLWSHKh2a30DoXe8/edit?usp=sharing"",""ชุมพร!J383"")"),216)</f>
        <v>216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IFERROR(__xludf.DUMMYFUNCTION("IMPORTRANGE(""https://docs.google.com/spreadsheets/d/1IYY_tgx_IHuhSq3AJ5eI5OnqOPBNLWSHKh2a30DoXe8/edit?usp=sharing"",""ชุมพร!I384"")"),0)</f>
        <v>0</v>
      </c>
      <c r="J489" s="195">
        <f ca="1">IFERROR(__xludf.DUMMYFUNCTION("IMPORTRANGE(""https://docs.google.com/spreadsheets/d/1IYY_tgx_IHuhSq3AJ5eI5OnqOPBNLWSHKh2a30DoXe8/edit?usp=sharing"",""ชุมพร!J384"")"),2048)</f>
        <v>2048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IFERROR(__xludf.DUMMYFUNCTION("IMPORTRANGE(""https://docs.google.com/spreadsheets/d/1IYY_tgx_IHuhSq3AJ5eI5OnqOPBNLWSHKh2a30DoXe8/edit?usp=sharing"",""ชุมพร!I385"")"),0)</f>
        <v>0</v>
      </c>
      <c r="J490" s="195">
        <f ca="1">IFERROR(__xludf.DUMMYFUNCTION("IMPORTRANGE(""https://docs.google.com/spreadsheets/d/1IYY_tgx_IHuhSq3AJ5eI5OnqOPBNLWSHKh2a30DoXe8/edit?usp=sharing"",""ชุมพร!J385"")"),204)</f>
        <v>204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IFERROR(__xludf.DUMMYFUNCTION("IMPORTRANGE(""https://docs.google.com/spreadsheets/d/1IYY_tgx_IHuhSq3AJ5eI5OnqOPBNLWSHKh2a30DoXe8/edit?usp=sharing"",""ชุมพร!I386"")"),0)</f>
        <v>0</v>
      </c>
      <c r="J491" s="195">
        <f ca="1">IFERROR(__xludf.DUMMYFUNCTION("IMPORTRANGE(""https://docs.google.com/spreadsheets/d/1IYY_tgx_IHuhSq3AJ5eI5OnqOPBNLWSHKh2a30DoXe8/edit?usp=sharing"",""ชุมพร!J386"")"),108)</f>
        <v>108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IFERROR(__xludf.DUMMYFUNCTION("IMPORTRANGE(""https://docs.google.com/spreadsheets/d/1IYY_tgx_IHuhSq3AJ5eI5OnqOPBNLWSHKh2a30DoXe8/edit?usp=sharing"",""ชุมพร!I387"")"),0)</f>
        <v>0</v>
      </c>
      <c r="J492" s="195">
        <f ca="1">IFERROR(__xludf.DUMMYFUNCTION("IMPORTRANGE(""https://docs.google.com/spreadsheets/d/1IYY_tgx_IHuhSq3AJ5eI5OnqOPBNLWSHKh2a30DoXe8/edit?usp=sharing"",""ชุมพร!J387"")"),12)</f>
        <v>12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IFERROR(__xludf.DUMMYFUNCTION("IMPORTRANGE(""https://docs.google.com/spreadsheets/d/1IYY_tgx_IHuhSq3AJ5eI5OnqOPBNLWSHKh2a30DoXe8/edit?usp=sharing"",""ชุมพร!I388"")"),0)</f>
        <v>0</v>
      </c>
      <c r="J493" s="195">
        <f ca="1">IFERROR(__xludf.DUMMYFUNCTION("IMPORTRANGE(""https://docs.google.com/spreadsheets/d/1IYY_tgx_IHuhSq3AJ5eI5OnqOPBNLWSHKh2a30DoXe8/edit?usp=sharing"",""ชุมพร!J388"")"),12256)</f>
        <v>12256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IFERROR(__xludf.DUMMYFUNCTION("IMPORTRANGE(""https://docs.google.com/spreadsheets/d/1IYY_tgx_IHuhSq3AJ5eI5OnqOPBNLWSHKh2a30DoXe8/edit?usp=sharing"",""ชุมพร!J389"")"),1215)</f>
        <v>1215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IFERROR(__xludf.DUMMYFUNCTION("IMPORTRANGE(""https://docs.google.com/spreadsheets/d/1IYY_tgx_IHuhSq3AJ5eI5OnqOPBNLWSHKh2a30DoXe8/edit?usp=sharing"",""ชุมพร!J392"")"),659)</f>
        <v>659</v>
      </c>
      <c r="K497" s="450">
        <f t="shared" ca="1" si="117"/>
        <v>100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IFERROR(__xludf.DUMMYFUNCTION("IMPORTRANGE(""https://docs.google.com/spreadsheets/d/1IYY_tgx_IHuhSq3AJ5eI5OnqOPBNLWSHKh2a30DoXe8/edit?usp=sharing"",""ชุมพร!J393"")"),659)</f>
        <v>659</v>
      </c>
      <c r="K498" s="208">
        <f t="shared" ca="1" si="117"/>
        <v>100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IFERROR(__xludf.DUMMYFUNCTION("IMPORTRANGE(""https://docs.google.com/spreadsheets/d/1IYY_tgx_IHuhSq3AJ5eI5OnqOPBNLWSHKh2a30DoXe8/edit?usp=sharing"",""ชุมพร!I395"")"),0)</f>
        <v>0</v>
      </c>
      <c r="J500" s="166">
        <f ca="1">IFERROR(__xludf.DUMMYFUNCTION("IMPORTRANGE(""https://docs.google.com/spreadsheets/d/1IYY_tgx_IHuhSq3AJ5eI5OnqOPBNLWSHKh2a30DoXe8/edit?usp=sharing"",""ชุมพร!J395"")"),647)</f>
        <v>647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IFERROR(__xludf.DUMMYFUNCTION("IMPORTRANGE(""https://docs.google.com/spreadsheets/d/1IYY_tgx_IHuhSq3AJ5eI5OnqOPBNLWSHKh2a30DoXe8/edit?usp=sharing"",""ชุมพร!I396"")"),0)</f>
        <v>0</v>
      </c>
      <c r="J501" s="166">
        <f ca="1">IFERROR(__xludf.DUMMYFUNCTION("IMPORTRANGE(""https://docs.google.com/spreadsheets/d/1IYY_tgx_IHuhSq3AJ5eI5OnqOPBNLWSHKh2a30DoXe8/edit?usp=sharing"",""ชุมพร!J396"")"),89)</f>
        <v>89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IFERROR(__xludf.DUMMYFUNCTION("IMPORTRANGE(""https://docs.google.com/spreadsheets/d/1IYY_tgx_IHuhSq3AJ5eI5OnqOPBNLWSHKh2a30DoXe8/edit?usp=sharing"",""ชุมพร!I397"")"),0)</f>
        <v>0</v>
      </c>
      <c r="J502" s="195">
        <f ca="1">IFERROR(__xludf.DUMMYFUNCTION("IMPORTRANGE(""https://docs.google.com/spreadsheets/d/1IYY_tgx_IHuhSq3AJ5eI5OnqOPBNLWSHKh2a30DoXe8/edit?usp=sharing"",""ชุมพร!J397"")"),622)</f>
        <v>622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IFERROR(__xludf.DUMMYFUNCTION("IMPORTRANGE(""https://docs.google.com/spreadsheets/d/1IYY_tgx_IHuhSq3AJ5eI5OnqOPBNLWSHKh2a30DoXe8/edit?usp=sharing"",""ชุมพร!I398"")"),0)</f>
        <v>0</v>
      </c>
      <c r="J503" s="204">
        <f ca="1">IFERROR(__xludf.DUMMYFUNCTION("IMPORTRANGE(""https://docs.google.com/spreadsheets/d/1IYY_tgx_IHuhSq3AJ5eI5OnqOPBNLWSHKh2a30DoXe8/edit?usp=sharing"",""ชุมพร!J398"")"),85)</f>
        <v>85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IFERROR(__xludf.DUMMYFUNCTION("IMPORTRANGE(""https://docs.google.com/spreadsheets/d/1IYY_tgx_IHuhSq3AJ5eI5OnqOPBNLWSHKh2a30DoXe8/edit?usp=sharing"",""ชุมพร!I399"")"),0)</f>
        <v>0</v>
      </c>
      <c r="J504" s="195">
        <f ca="1">IFERROR(__xludf.DUMMYFUNCTION("IMPORTRANGE(""https://docs.google.com/spreadsheets/d/1IYY_tgx_IHuhSq3AJ5eI5OnqOPBNLWSHKh2a30DoXe8/edit?usp=sharing"",""ชุมพร!J399"")"),25)</f>
        <v>25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IFERROR(__xludf.DUMMYFUNCTION("IMPORTRANGE(""https://docs.google.com/spreadsheets/d/1IYY_tgx_IHuhSq3AJ5eI5OnqOPBNLWSHKh2a30DoXe8/edit?usp=sharing"",""ชุมพร!I400"")"),0)</f>
        <v>0</v>
      </c>
      <c r="J505" s="204">
        <f ca="1">IFERROR(__xludf.DUMMYFUNCTION("IMPORTRANGE(""https://docs.google.com/spreadsheets/d/1IYY_tgx_IHuhSq3AJ5eI5OnqOPBNLWSHKh2a30DoXe8/edit?usp=sharing"",""ชุมพร!J400"")"),4)</f>
        <v>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IFERROR(__xludf.DUMMYFUNCTION("IMPORTRANGE(""https://docs.google.com/spreadsheets/d/1IYY_tgx_IHuhSq3AJ5eI5OnqOPBNLWSHKh2a30DoXe8/edit?usp=sharing"",""ชุมพร!I401"")"),0)</f>
        <v>0</v>
      </c>
      <c r="J506" s="195">
        <f ca="1">IFERROR(__xludf.DUMMYFUNCTION("IMPORTRANGE(""https://docs.google.com/spreadsheets/d/1IYY_tgx_IHuhSq3AJ5eI5OnqOPBNLWSHKh2a30DoXe8/edit?usp=sharing"",""ชุมพร!J401"")"),0)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IFERROR(__xludf.DUMMYFUNCTION("IMPORTRANGE(""https://docs.google.com/spreadsheets/d/1IYY_tgx_IHuhSq3AJ5eI5OnqOPBNLWSHKh2a30DoXe8/edit?usp=sharing"",""ชุมพร!I402"")"),0)</f>
        <v>0</v>
      </c>
      <c r="J507" s="204">
        <f ca="1">IFERROR(__xludf.DUMMYFUNCTION("IMPORTRANGE(""https://docs.google.com/spreadsheets/d/1IYY_tgx_IHuhSq3AJ5eI5OnqOPBNLWSHKh2a30DoXe8/edit?usp=sharing"",""ชุมพร!J402"")"),0)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IFERROR(__xludf.DUMMYFUNCTION("IMPORTRANGE(""https://docs.google.com/spreadsheets/d/1IYY_tgx_IHuhSq3AJ5eI5OnqOPBNLWSHKh2a30DoXe8/edit?usp=sharing"",""ชุมพร!I403"")"),0)</f>
        <v>0</v>
      </c>
      <c r="J508" s="166">
        <f ca="1">IFERROR(__xludf.DUMMYFUNCTION("IMPORTRANGE(""https://docs.google.com/spreadsheets/d/1IYY_tgx_IHuhSq3AJ5eI5OnqOPBNLWSHKh2a30DoXe8/edit?usp=sharing"",""ชุมพร!J403"")"),12)</f>
        <v>12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IFERROR(__xludf.DUMMYFUNCTION("IMPORTRANGE(""https://docs.google.com/spreadsheets/d/1IYY_tgx_IHuhSq3AJ5eI5OnqOPBNLWSHKh2a30DoXe8/edit?usp=sharing"",""ชุมพร!I404"")"),0)</f>
        <v>0</v>
      </c>
      <c r="J509" s="166">
        <f ca="1">IFERROR(__xludf.DUMMYFUNCTION("IMPORTRANGE(""https://docs.google.com/spreadsheets/d/1IYY_tgx_IHuhSq3AJ5eI5OnqOPBNLWSHKh2a30DoXe8/edit?usp=sharing"",""ชุมพร!J404"")"),5)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IFERROR(__xludf.DUMMYFUNCTION("IMPORTRANGE(""https://docs.google.com/spreadsheets/d/1IYY_tgx_IHuhSq3AJ5eI5OnqOPBNLWSHKh2a30DoXe8/edit?usp=sharing"",""ชุมพร!I405"")"),0)</f>
        <v>0</v>
      </c>
      <c r="J510" s="204">
        <f ca="1">IFERROR(__xludf.DUMMYFUNCTION("IMPORTRANGE(""https://docs.google.com/spreadsheets/d/1IYY_tgx_IHuhSq3AJ5eI5OnqOPBNLWSHKh2a30DoXe8/edit?usp=sharing"",""ชุมพร!J405"")"),12)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IFERROR(__xludf.DUMMYFUNCTION("IMPORTRANGE(""https://docs.google.com/spreadsheets/d/1IYY_tgx_IHuhSq3AJ5eI5OnqOPBNLWSHKh2a30DoXe8/edit?usp=sharing"",""ชุมพร!I406"")"),0)</f>
        <v>0</v>
      </c>
      <c r="J511" s="204">
        <f ca="1">IFERROR(__xludf.DUMMYFUNCTION("IMPORTRANGE(""https://docs.google.com/spreadsheets/d/1IYY_tgx_IHuhSq3AJ5eI5OnqOPBNLWSHKh2a30DoXe8/edit?usp=sharing"",""ชุมพร!J406"")"),5)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IFERROR(__xludf.DUMMYFUNCTION("IMPORTRANGE(""https://docs.google.com/spreadsheets/d/1IYY_tgx_IHuhSq3AJ5eI5OnqOPBNLWSHKh2a30DoXe8/edit?usp=sharing"",""ชุมพร!I407"")"),0)</f>
        <v>0</v>
      </c>
      <c r="J512" s="204">
        <f ca="1">IFERROR(__xludf.DUMMYFUNCTION("IMPORTRANGE(""https://docs.google.com/spreadsheets/d/1IYY_tgx_IHuhSq3AJ5eI5OnqOPBNLWSHKh2a30DoXe8/edit?usp=sharing"",""ชุมพร!J407"")"),0)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IFERROR(__xludf.DUMMYFUNCTION("IMPORTRANGE(""https://docs.google.com/spreadsheets/d/1IYY_tgx_IHuhSq3AJ5eI5OnqOPBNLWSHKh2a30DoXe8/edit?usp=sharing"",""ชุมพร!I408"")"),0)</f>
        <v>0</v>
      </c>
      <c r="J513" s="204">
        <f ca="1">IFERROR(__xludf.DUMMYFUNCTION("IMPORTRANGE(""https://docs.google.com/spreadsheets/d/1IYY_tgx_IHuhSq3AJ5eI5OnqOPBNLWSHKh2a30DoXe8/edit?usp=sharing"",""ชุมพร!J408"")"),0)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IFERROR(__xludf.DUMMYFUNCTION("IMPORTRANGE(""https://docs.google.com/spreadsheets/d/1IYY_tgx_IHuhSq3AJ5eI5OnqOPBNLWSHKh2a30DoXe8/edit?usp=sharing"",""ชุมพร!I409"")"),0)</f>
        <v>0</v>
      </c>
      <c r="J514" s="204">
        <f ca="1">IFERROR(__xludf.DUMMYFUNCTION("IMPORTRANGE(""https://docs.google.com/spreadsheets/d/1IYY_tgx_IHuhSq3AJ5eI5OnqOPBNLWSHKh2a30DoXe8/edit?usp=sharing"",""ชุมพร!J409"")"),0)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IFERROR(__xludf.DUMMYFUNCTION("IMPORTRANGE(""https://docs.google.com/spreadsheets/d/1IYY_tgx_IHuhSq3AJ5eI5OnqOPBNLWSHKh2a30DoXe8/edit?usp=sharing"",""ชุมพร!I410"")"),0)</f>
        <v>0</v>
      </c>
      <c r="J515" s="204">
        <f ca="1">IFERROR(__xludf.DUMMYFUNCTION("IMPORTRANGE(""https://docs.google.com/spreadsheets/d/1IYY_tgx_IHuhSq3AJ5eI5OnqOPBNLWSHKh2a30DoXe8/edit?usp=sharing"",""ชุมพร!J410"")"),0)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IFERROR(__xludf.DUMMYFUNCTION("IMPORTRANGE(""https://docs.google.com/spreadsheets/d/1IYY_tgx_IHuhSq3AJ5eI5OnqOPBNLWSHKh2a30DoXe8/edit?usp=sharing"",""ชุมพร!I411"")"),0)</f>
        <v>0</v>
      </c>
      <c r="J516" s="273">
        <f ca="1">IFERROR(__xludf.DUMMYFUNCTION("IMPORTRANGE(""https://docs.google.com/spreadsheets/d/1IYY_tgx_IHuhSq3AJ5eI5OnqOPBNLWSHKh2a30DoXe8/edit?usp=sharing"",""ชุมพร!J411"")"),0)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IFERROR(__xludf.DUMMYFUNCTION("IMPORTRANGE(""https://docs.google.com/spreadsheets/d/1IYY_tgx_IHuhSq3AJ5eI5OnqOPBNLWSHKh2a30DoXe8/edit?usp=sharing"",""ชุมพร!I414"")"),0)</f>
        <v>0</v>
      </c>
      <c r="J519" s="194">
        <f ca="1">IFERROR(__xludf.DUMMYFUNCTION("IMPORTRANGE(""https://docs.google.com/spreadsheets/d/1IYY_tgx_IHuhSq3AJ5eI5OnqOPBNLWSHKh2a30DoXe8/edit?usp=sharing"",""ชุมพร!J414"")"),0)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IFERROR(__xludf.DUMMYFUNCTION("IMPORTRANGE(""https://docs.google.com/spreadsheets/d/1IYY_tgx_IHuhSq3AJ5eI5OnqOPBNLWSHKh2a30DoXe8/edit?usp=sharing"",""ชุมพร!I415"")"),0)</f>
        <v>0</v>
      </c>
      <c r="J520" s="194">
        <f ca="1">IFERROR(__xludf.DUMMYFUNCTION("IMPORTRANGE(""https://docs.google.com/spreadsheets/d/1IYY_tgx_IHuhSq3AJ5eI5OnqOPBNLWSHKh2a30DoXe8/edit?usp=sharing"",""ชุมพร!J415"")"),0)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IFERROR(__xludf.DUMMYFUNCTION("IMPORTRANGE(""https://docs.google.com/spreadsheets/d/1IYY_tgx_IHuhSq3AJ5eI5OnqOPBNLWSHKh2a30DoXe8/edit?usp=sharing"",""ชุมพร!I416"")"),0)</f>
        <v>0</v>
      </c>
      <c r="J521" s="194">
        <f ca="1">IFERROR(__xludf.DUMMYFUNCTION("IMPORTRANGE(""https://docs.google.com/spreadsheets/d/1IYY_tgx_IHuhSq3AJ5eI5OnqOPBNLWSHKh2a30DoXe8/edit?usp=sharing"",""ชุมพร!J416"")"),0)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IFERROR(__xludf.DUMMYFUNCTION("IMPORTRANGE(""https://docs.google.com/spreadsheets/d/1IYY_tgx_IHuhSq3AJ5eI5OnqOPBNLWSHKh2a30DoXe8/edit?usp=sharing"",""ชุมพร!I417"")"),0)</f>
        <v>0</v>
      </c>
      <c r="J522" s="194">
        <f ca="1">IFERROR(__xludf.DUMMYFUNCTION("IMPORTRANGE(""https://docs.google.com/spreadsheets/d/1IYY_tgx_IHuhSq3AJ5eI5OnqOPBNLWSHKh2a30DoXe8/edit?usp=sharing"",""ชุมพร!J417"")"),0)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IFERROR(__xludf.DUMMYFUNCTION("IMPORTRANGE(""https://docs.google.com/spreadsheets/d/1IYY_tgx_IHuhSq3AJ5eI5OnqOPBNLWSHKh2a30DoXe8/edit?usp=sharing"",""ชุมพร!I418"")"),0)</f>
        <v>0</v>
      </c>
      <c r="J523" s="194">
        <f ca="1">IFERROR(__xludf.DUMMYFUNCTION("IMPORTRANGE(""https://docs.google.com/spreadsheets/d/1IYY_tgx_IHuhSq3AJ5eI5OnqOPBNLWSHKh2a30DoXe8/edit?usp=sharing"",""ชุมพร!J418"")"),179)</f>
        <v>179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IFERROR(__xludf.DUMMYFUNCTION("IMPORTRANGE(""https://docs.google.com/spreadsheets/d/1IYY_tgx_IHuhSq3AJ5eI5OnqOPBNLWSHKh2a30DoXe8/edit?usp=sharing"",""ชุมพร!I419"")"),0)</f>
        <v>0</v>
      </c>
      <c r="J524" s="194">
        <f ca="1">IFERROR(__xludf.DUMMYFUNCTION("IMPORTRANGE(""https://docs.google.com/spreadsheets/d/1IYY_tgx_IHuhSq3AJ5eI5OnqOPBNLWSHKh2a30DoXe8/edit?usp=sharing"",""ชุมพร!J419"")"),19)</f>
        <v>19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IFERROR(__xludf.DUMMYFUNCTION("IMPORTRANGE(""https://docs.google.com/spreadsheets/d/1IYY_tgx_IHuhSq3AJ5eI5OnqOPBNLWSHKh2a30DoXe8/edit?usp=sharing"",""ชุมพร!I420"")"),179)</f>
        <v>179</v>
      </c>
      <c r="J525" s="290">
        <f ca="1">IFERROR(__xludf.DUMMYFUNCTION("IMPORTRANGE(""https://docs.google.com/spreadsheets/d/1IYY_tgx_IHuhSq3AJ5eI5OnqOPBNLWSHKh2a30DoXe8/edit?usp=sharing"",""ชุมพร!J420"")"),0)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IFERROR(__xludf.DUMMYFUNCTION("IMPORTRANGE(""https://docs.google.com/spreadsheets/d/1IYY_tgx_IHuhSq3AJ5eI5OnqOPBNLWSHKh2a30DoXe8/edit?usp=sharing"",""ชุมพร!I421"")"),19)</f>
        <v>19</v>
      </c>
      <c r="J526" s="290">
        <f ca="1">IFERROR(__xludf.DUMMYFUNCTION("IMPORTRANGE(""https://docs.google.com/spreadsheets/d/1IYY_tgx_IHuhSq3AJ5eI5OnqOPBNLWSHKh2a30DoXe8/edit?usp=sharing"",""ชุมพร!J421"")"),0)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IFERROR(__xludf.DUMMYFUNCTION("IMPORTRANGE(""https://docs.google.com/spreadsheets/d/1IYY_tgx_IHuhSq3AJ5eI5OnqOPBNLWSHKh2a30DoXe8/edit?usp=sharing"",""ชุมพร!I422"")"),0)</f>
        <v>0</v>
      </c>
      <c r="J527" s="204">
        <f ca="1">IFERROR(__xludf.DUMMYFUNCTION("IMPORTRANGE(""https://docs.google.com/spreadsheets/d/1IYY_tgx_IHuhSq3AJ5eI5OnqOPBNLWSHKh2a30DoXe8/edit?usp=sharing"",""ชุมพร!J422"")"),0)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IFERROR(__xludf.DUMMYFUNCTION("IMPORTRANGE(""https://docs.google.com/spreadsheets/d/1IYY_tgx_IHuhSq3AJ5eI5OnqOPBNLWSHKh2a30DoXe8/edit?usp=sharing"",""ชุมพร!I423"")"),0)</f>
        <v>0</v>
      </c>
      <c r="J528" s="204">
        <f ca="1">IFERROR(__xludf.DUMMYFUNCTION("IMPORTRANGE(""https://docs.google.com/spreadsheets/d/1IYY_tgx_IHuhSq3AJ5eI5OnqOPBNLWSHKh2a30DoXe8/edit?usp=sharing"",""ชุมพร!J423"")"),0)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IFERROR(__xludf.DUMMYFUNCTION("IMPORTRANGE(""https://docs.google.com/spreadsheets/d/1IYY_tgx_IHuhSq3AJ5eI5OnqOPBNLWSHKh2a30DoXe8/edit?usp=sharing"",""ชุมพร!I424"")"),0)</f>
        <v>0</v>
      </c>
      <c r="J529" s="204">
        <f ca="1">IFERROR(__xludf.DUMMYFUNCTION("IMPORTRANGE(""https://docs.google.com/spreadsheets/d/1IYY_tgx_IHuhSq3AJ5eI5OnqOPBNLWSHKh2a30DoXe8/edit?usp=sharing"",""ชุมพร!J424"")"),0)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IFERROR(__xludf.DUMMYFUNCTION("IMPORTRANGE(""https://docs.google.com/spreadsheets/d/1IYY_tgx_IHuhSq3AJ5eI5OnqOPBNLWSHKh2a30DoXe8/edit?usp=sharing"",""ชุมพร!I425"")"),0)</f>
        <v>0</v>
      </c>
      <c r="J530" s="204">
        <f ca="1">IFERROR(__xludf.DUMMYFUNCTION("IMPORTRANGE(""https://docs.google.com/spreadsheets/d/1IYY_tgx_IHuhSq3AJ5eI5OnqOPBNLWSHKh2a30DoXe8/edit?usp=sharing"",""ชุมพร!J425"")"),0)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IFERROR(__xludf.DUMMYFUNCTION("IMPORTRANGE(""https://docs.google.com/spreadsheets/d/1IYY_tgx_IHuhSq3AJ5eI5OnqOPBNLWSHKh2a30DoXe8/edit?usp=sharing"",""ชุมพร!I426"")"),0)</f>
        <v>0</v>
      </c>
      <c r="J531" s="204">
        <f ca="1">IFERROR(__xludf.DUMMYFUNCTION("IMPORTRANGE(""https://docs.google.com/spreadsheets/d/1IYY_tgx_IHuhSq3AJ5eI5OnqOPBNLWSHKh2a30DoXe8/edit?usp=sharing"",""ชุมพร!J426"")"),0)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IFERROR(__xludf.DUMMYFUNCTION("IMPORTRANGE(""https://docs.google.com/spreadsheets/d/1IYY_tgx_IHuhSq3AJ5eI5OnqOPBNLWSHKh2a30DoXe8/edit?usp=sharing"",""ชุมพร!L428"")"),37740)</f>
        <v>37740</v>
      </c>
      <c r="M533" s="418"/>
      <c r="N533" s="418">
        <f ca="1">IFERROR(__xludf.DUMMYFUNCTION("IMPORTRANGE(""https://docs.google.com/spreadsheets/d/1IYY_tgx_IHuhSq3AJ5eI5OnqOPBNLWSHKh2a30DoXe8/edit?usp=sharing"",""ชุมพร!M428"")"),22200)</f>
        <v>22200</v>
      </c>
      <c r="O533" s="418">
        <f t="shared" ref="O533:O537" ca="1" si="118">+IF(L533&gt;0,N533*100/L533,0)</f>
        <v>58.823529411764703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IFERROR(__xludf.DUMMYFUNCTION("IMPORTRANGE(""https://docs.google.com/spreadsheets/d/1IYY_tgx_IHuhSq3AJ5eI5OnqOPBNLWSHKh2a30DoXe8/edit?usp=sharing"",""ชุมพร!L429"")"),0)</f>
        <v>0</v>
      </c>
      <c r="M534" s="168"/>
      <c r="N534" s="175">
        <f ca="1">IFERROR(__xludf.DUMMYFUNCTION("IMPORTRANGE(""https://docs.google.com/spreadsheets/d/1IYY_tgx_IHuhSq3AJ5eI5OnqOPBNLWSHKh2a30DoXe8/edit?usp=sharing"",""ชุมพร!M429"")"),0)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IFERROR(__xludf.DUMMYFUNCTION("IMPORTRANGE(""https://docs.google.com/spreadsheets/d/1IYY_tgx_IHuhSq3AJ5eI5OnqOPBNLWSHKh2a30DoXe8/edit?usp=sharing"",""ชุมพร!L430"")"),37740)</f>
        <v>37740</v>
      </c>
      <c r="M535" s="169"/>
      <c r="N535" s="175">
        <f ca="1">IFERROR(__xludf.DUMMYFUNCTION("IMPORTRANGE(""https://docs.google.com/spreadsheets/d/1IYY_tgx_IHuhSq3AJ5eI5OnqOPBNLWSHKh2a30DoXe8/edit?usp=sharing"",""ชุมพร!M430"")"),22200)</f>
        <v>22200</v>
      </c>
      <c r="O535" s="175">
        <f t="shared" ca="1" si="118"/>
        <v>58.823529411764703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IFERROR(__xludf.DUMMYFUNCTION("IMPORTRANGE(""https://docs.google.com/spreadsheets/d/1IYY_tgx_IHuhSq3AJ5eI5OnqOPBNLWSHKh2a30DoXe8/edit?usp=sharing"",""ชุมพร!L431"")"),0)</f>
        <v>0</v>
      </c>
      <c r="M536" s="175"/>
      <c r="N536" s="175">
        <f ca="1">IFERROR(__xludf.DUMMYFUNCTION("IMPORTRANGE(""https://docs.google.com/spreadsheets/d/1IYY_tgx_IHuhSq3AJ5eI5OnqOPBNLWSHKh2a30DoXe8/edit?usp=sharing"",""ชุมพร!M431"")"),0)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IFERROR(__xludf.DUMMYFUNCTION("IMPORTRANGE(""https://docs.google.com/spreadsheets/d/1IYY_tgx_IHuhSq3AJ5eI5OnqOPBNLWSHKh2a30DoXe8/edit?usp=sharing"",""ชุมพร!L432"")"),37740)</f>
        <v>37740</v>
      </c>
      <c r="M537" s="175"/>
      <c r="N537" s="175">
        <f ca="1">IFERROR(__xludf.DUMMYFUNCTION("IMPORTRANGE(""https://docs.google.com/spreadsheets/d/1IYY_tgx_IHuhSq3AJ5eI5OnqOPBNLWSHKh2a30DoXe8/edit?usp=sharing"",""ชุมพร!M432"")"),22200)</f>
        <v>22200</v>
      </c>
      <c r="O537" s="175">
        <f t="shared" ca="1" si="118"/>
        <v>58.823529411764703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IFERROR(__xludf.DUMMYFUNCTION("IMPORTRANGE(""https://docs.google.com/spreadsheets/d/1IYY_tgx_IHuhSq3AJ5eI5OnqOPBNLWSHKh2a30DoXe8/edit?usp=sharing"",""ชุมพร!M436"")"),0)</f>
        <v>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IFERROR(__xludf.DUMMYFUNCTION("IMPORTRANGE(""https://docs.google.com/spreadsheets/d/1IYY_tgx_IHuhSq3AJ5eI5OnqOPBNLWSHKh2a30DoXe8/edit?usp=sharing"",""ชุมพร!J438"")"),0)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IFERROR(__xludf.DUMMYFUNCTION("IMPORTRANGE(""https://docs.google.com/spreadsheets/d/1IYY_tgx_IHuhSq3AJ5eI5OnqOPBNLWSHKh2a30DoXe8/edit?usp=sharing"",""ชุมพร!J439"")"),1)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IFERROR(__xludf.DUMMYFUNCTION("IMPORTRANGE(""https://docs.google.com/spreadsheets/d/1IYY_tgx_IHuhSq3AJ5eI5OnqOPBNLWSHKh2a30DoXe8/edit?usp=sharing"",""ชุมพร!J440"")"),1)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IFERROR(__xludf.DUMMYFUNCTION("IMPORTRANGE(""https://docs.google.com/spreadsheets/d/1IYY_tgx_IHuhSq3AJ5eI5OnqOPBNLWSHKh2a30DoXe8/edit?usp=sharing"",""ชุมพร!J441"")"),1)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IFERROR(__xludf.DUMMYFUNCTION("IMPORTRANGE(""https://docs.google.com/spreadsheets/d/1IYY_tgx_IHuhSq3AJ5eI5OnqOPBNLWSHKh2a30DoXe8/edit?usp=sharing"",""ชุมพร!I442"")"),26)</f>
        <v>26</v>
      </c>
      <c r="J547" s="195">
        <f ca="1">IFERROR(__xludf.DUMMYFUNCTION("IMPORTRANGE(""https://docs.google.com/spreadsheets/d/1IYY_tgx_IHuhSq3AJ5eI5OnqOPBNLWSHKh2a30DoXe8/edit?usp=sharing"",""ชุมพร!J442"")"),26)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IFERROR(__xludf.DUMMYFUNCTION("IMPORTRANGE(""https://docs.google.com/spreadsheets/d/1IYY_tgx_IHuhSq3AJ5eI5OnqOPBNLWSHKh2a30DoXe8/edit?usp=sharing"",""ชุมพร!J166"")"),0)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IFERROR(__xludf.DUMMYFUNCTION("IMPORTRANGE(""https://docs.google.com/spreadsheets/d/1IYY_tgx_IHuhSq3AJ5eI5OnqOPBNLWSHKh2a30DoXe8/edit?usp=sharing"",""ชุมพร!J444"")"),0)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IFERROR(__xludf.DUMMYFUNCTION("IMPORTRANGE(""https://docs.google.com/spreadsheets/d/1IYY_tgx_IHuhSq3AJ5eI5OnqOPBNLWSHKh2a30DoXe8/edit?usp=sharing"",""ชุมพร!L447"")"),0)</f>
        <v>0</v>
      </c>
      <c r="M552" s="168"/>
      <c r="N552" s="175">
        <f ca="1">IFERROR(__xludf.DUMMYFUNCTION("IMPORTRANGE(""https://docs.google.com/spreadsheets/d/1IYY_tgx_IHuhSq3AJ5eI5OnqOPBNLWSHKh2a30DoXe8/edit?usp=sharing"",""ชุมพร!M447"")"),0)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5">
        <f ca="1">IFERROR(__xludf.DUMMYFUNCTION("IMPORTRANGE(""https://docs.google.com/spreadsheets/d/1IYY_tgx_IHuhSq3AJ5eI5OnqOPBNLWSHKh2a30DoXe8/edit?usp=sharing"",""ชุมพร!M448"")"),0)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IFERROR(__xludf.DUMMYFUNCTION("IMPORTRANGE(""https://docs.google.com/spreadsheets/d/1IYY_tgx_IHuhSq3AJ5eI5OnqOPBNLWSHKh2a30DoXe8/edit?usp=sharing"",""ชุมพร!L449"")"),0)</f>
        <v>0</v>
      </c>
      <c r="M554" s="175"/>
      <c r="N554" s="175">
        <f ca="1">IFERROR(__xludf.DUMMYFUNCTION("IMPORTRANGE(""https://docs.google.com/spreadsheets/d/1IYY_tgx_IHuhSq3AJ5eI5OnqOPBNLWSHKh2a30DoXe8/edit?usp=sharing"",""ชุมพร!M449"")"),0)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IFERROR(__xludf.DUMMYFUNCTION("IMPORTRANGE(""https://docs.google.com/spreadsheets/d/1IYY_tgx_IHuhSq3AJ5eI5OnqOPBNLWSHKh2a30DoXe8/edit?usp=sharing"",""ชุมพร!L450"")"),0)</f>
        <v>0</v>
      </c>
      <c r="M555" s="175"/>
      <c r="N555" s="175">
        <f ca="1">IFERROR(__xludf.DUMMYFUNCTION("IMPORTRANGE(""https://docs.google.com/spreadsheets/d/1IYY_tgx_IHuhSq3AJ5eI5OnqOPBNLWSHKh2a30DoXe8/edit?usp=sharing"",""ชุมพร!M450"")"),0)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IFERROR(__xludf.DUMMYFUNCTION("IMPORTRANGE(""https://docs.google.com/spreadsheets/d/1IYY_tgx_IHuhSq3AJ5eI5OnqOPBNLWSHKh2a30DoXe8/edit?usp=sharing"",""ชุมพร!M451"")"),0)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IFERROR(__xludf.DUMMYFUNCTION("IMPORTRANGE(""https://docs.google.com/spreadsheets/d/1IYY_tgx_IHuhSq3AJ5eI5OnqOPBNLWSHKh2a30DoXe8/edit?usp=sharing"",""ชุมพร!M452"")"),0)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IFERROR(__xludf.DUMMYFUNCTION("IMPORTRANGE(""https://docs.google.com/spreadsheets/d/1IYY_tgx_IHuhSq3AJ5eI5OnqOPBNLWSHKh2a30DoXe8/edit?usp=sharing"",""ชุมพร!M453"")"),0)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IFERROR(__xludf.DUMMYFUNCTION("IMPORTRANGE(""https://docs.google.com/spreadsheets/d/1IYY_tgx_IHuhSq3AJ5eI5OnqOPBNLWSHKh2a30DoXe8/edit?usp=sharing"",""ชุมพร!M454"")"),0)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IFERROR(__xludf.DUMMYFUNCTION("IMPORTRANGE(""https://docs.google.com/spreadsheets/d/1IYY_tgx_IHuhSq3AJ5eI5OnqOPBNLWSHKh2a30DoXe8/edit?usp=sharing"",""ชุมพร!I455"")"),0)</f>
        <v>0</v>
      </c>
      <c r="J560" s="166">
        <f ca="1">IFERROR(__xludf.DUMMYFUNCTION("IMPORTRANGE(""https://docs.google.com/spreadsheets/d/1IYY_tgx_IHuhSq3AJ5eI5OnqOPBNLWSHKh2a30DoXe8/edit?usp=sharing"",""ชุมพร!J455"")"),0)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IFERROR(__xludf.DUMMYFUNCTION("IMPORTRANGE(""https://docs.google.com/spreadsheets/d/1IYY_tgx_IHuhSq3AJ5eI5OnqOPBNLWSHKh2a30DoXe8/edit?usp=sharing"",""ชุมพร!I456"")"),0)</f>
        <v>0</v>
      </c>
      <c r="J561" s="210">
        <f ca="1">IFERROR(__xludf.DUMMYFUNCTION("IMPORTRANGE(""https://docs.google.com/spreadsheets/d/1IYY_tgx_IHuhSq3AJ5eI5OnqOPBNLWSHKh2a30DoXe8/edit?usp=sharing"",""ชุมพร!J456"")"),0)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IFERROR(__xludf.DUMMYFUNCTION("IMPORTRANGE(""https://docs.google.com/spreadsheets/d/1IYY_tgx_IHuhSq3AJ5eI5OnqOPBNLWSHKh2a30DoXe8/edit?usp=sharing"",""ชุมพร!J459"")"),6442)</f>
        <v>6442</v>
      </c>
      <c r="K564" s="378">
        <f ca="1">IF(I564&gt;0,J564*100/I564,0)</f>
        <v>429.46666666666664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IFERROR(__xludf.DUMMYFUNCTION("IMPORTRANGE(""https://docs.google.com/spreadsheets/d/1IYY_tgx_IHuhSq3AJ5eI5OnqOPBNLWSHKh2a30DoXe8/edit?usp=sharing"",""ชุมพร!M459"")"),102636)</f>
        <v>102636</v>
      </c>
      <c r="O564" s="379">
        <f t="shared" ref="O564:O568" ca="1" si="122">+IF(L564&gt;0,N564*100/L564,0)</f>
        <v>75.46764705882353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IFERROR(__xludf.DUMMYFUNCTION("IMPORTRANGE(""https://docs.google.com/spreadsheets/d/1IYY_tgx_IHuhSq3AJ5eI5OnqOPBNLWSHKh2a30DoXe8/edit?usp=sharing"",""ชุมพร!L460"")"),0)</f>
        <v>0</v>
      </c>
      <c r="M565" s="168"/>
      <c r="N565" s="175">
        <f ca="1">IFERROR(__xludf.DUMMYFUNCTION("IMPORTRANGE(""https://docs.google.com/spreadsheets/d/1IYY_tgx_IHuhSq3AJ5eI5OnqOPBNLWSHKh2a30DoXe8/edit?usp=sharing"",""ชุมพร!M460"")"),0)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5">
        <f ca="1">IFERROR(__xludf.DUMMYFUNCTION("IMPORTRANGE(""https://docs.google.com/spreadsheets/d/1IYY_tgx_IHuhSq3AJ5eI5OnqOPBNLWSHKh2a30DoXe8/edit?usp=sharing"",""ชุมพร!M461"")"),102636)</f>
        <v>102636</v>
      </c>
      <c r="O566" s="175">
        <f t="shared" ca="1" si="122"/>
        <v>75.46764705882353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IFERROR(__xludf.DUMMYFUNCTION("IMPORTRANGE(""https://docs.google.com/spreadsheets/d/1IYY_tgx_IHuhSq3AJ5eI5OnqOPBNLWSHKh2a30DoXe8/edit?usp=sharing"",""ชุมพร!L462"")"),0)</f>
        <v>0</v>
      </c>
      <c r="M567" s="175"/>
      <c r="N567" s="175">
        <f ca="1">IFERROR(__xludf.DUMMYFUNCTION("IMPORTRANGE(""https://docs.google.com/spreadsheets/d/1IYY_tgx_IHuhSq3AJ5eI5OnqOPBNLWSHKh2a30DoXe8/edit?usp=sharing"",""ชุมพร!M462"")"),0)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IFERROR(__xludf.DUMMYFUNCTION("IMPORTRANGE(""https://docs.google.com/spreadsheets/d/1IYY_tgx_IHuhSq3AJ5eI5OnqOPBNLWSHKh2a30DoXe8/edit?usp=sharing"",""ชุมพร!L463"")"),136000)</f>
        <v>136000</v>
      </c>
      <c r="M568" s="175"/>
      <c r="N568" s="175">
        <f ca="1">IFERROR(__xludf.DUMMYFUNCTION("IMPORTRANGE(""https://docs.google.com/spreadsheets/d/1IYY_tgx_IHuhSq3AJ5eI5OnqOPBNLWSHKh2a30DoXe8/edit?usp=sharing"",""ชุมพร!M463"")"),102636)</f>
        <v>102636</v>
      </c>
      <c r="O568" s="175">
        <f t="shared" ca="1" si="122"/>
        <v>75.46764705882353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IFERROR(__xludf.DUMMYFUNCTION("IMPORTRANGE(""https://docs.google.com/spreadsheets/d/1IYY_tgx_IHuhSq3AJ5eI5OnqOPBNLWSHKh2a30DoXe8/edit?usp=sharing"",""ชุมพร!M464"")"),0)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IFERROR(__xludf.DUMMYFUNCTION("IMPORTRANGE(""https://docs.google.com/spreadsheets/d/1IYY_tgx_IHuhSq3AJ5eI5OnqOPBNLWSHKh2a30DoXe8/edit?usp=sharing"",""ชุมพร!M465"")"),0)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IFERROR(__xludf.DUMMYFUNCTION("IMPORTRANGE(""https://docs.google.com/spreadsheets/d/1IYY_tgx_IHuhSq3AJ5eI5OnqOPBNLWSHKh2a30DoXe8/edit?usp=sharing"",""ชุมพร!M466"")"),74441)</f>
        <v>74441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IFERROR(__xludf.DUMMYFUNCTION("IMPORTRANGE(""https://docs.google.com/spreadsheets/d/1IYY_tgx_IHuhSq3AJ5eI5OnqOPBNLWSHKh2a30DoXe8/edit?usp=sharing"",""ชุมพร!M467"")"),28195)</f>
        <v>28195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IFERROR(__xludf.DUMMYFUNCTION("IMPORTRANGE(""https://docs.google.com/spreadsheets/d/1IYY_tgx_IHuhSq3AJ5eI5OnqOPBNLWSHKh2a30DoXe8/edit?usp=sharing"",""ชุมพร!J468"")"),6442)</f>
        <v>6442</v>
      </c>
      <c r="K573" s="208">
        <f ca="1">IF(I573&gt;0,J573*100/I573,0)</f>
        <v>429.46666666666664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IFERROR(__xludf.DUMMYFUNCTION("IMPORTRANGE(""https://docs.google.com/spreadsheets/d/1IYY_tgx_IHuhSq3AJ5eI5OnqOPBNLWSHKh2a30DoXe8/edit?usp=sharing"",""ชุมพร!I470"")"),0)</f>
        <v>0</v>
      </c>
      <c r="J575" s="204">
        <f ca="1">IFERROR(__xludf.DUMMYFUNCTION("IMPORTRANGE(""https://docs.google.com/spreadsheets/d/1IYY_tgx_IHuhSq3AJ5eI5OnqOPBNLWSHKh2a30DoXe8/edit?usp=sharing"",""ชุมพร!J470"")"),2)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IFERROR(__xludf.DUMMYFUNCTION("IMPORTRANGE(""https://docs.google.com/spreadsheets/d/1IYY_tgx_IHuhSq3AJ5eI5OnqOPBNLWSHKh2a30DoXe8/edit?usp=sharing"",""ชุมพร!I471"")"),0)</f>
        <v>0</v>
      </c>
      <c r="J576" s="204">
        <f ca="1">IFERROR(__xludf.DUMMYFUNCTION("IMPORTRANGE(""https://docs.google.com/spreadsheets/d/1IYY_tgx_IHuhSq3AJ5eI5OnqOPBNLWSHKh2a30DoXe8/edit?usp=sharing"",""ชุมพร!J471"")"),39)</f>
        <v>39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IFERROR(__xludf.DUMMYFUNCTION("IMPORTRANGE(""https://docs.google.com/spreadsheets/d/1IYY_tgx_IHuhSq3AJ5eI5OnqOPBNLWSHKh2a30DoXe8/edit?usp=sharing"",""ชุมพร!I472"")"),0)</f>
        <v>0</v>
      </c>
      <c r="J577" s="195">
        <f ca="1">IFERROR(__xludf.DUMMYFUNCTION("IMPORTRANGE(""https://docs.google.com/spreadsheets/d/1IYY_tgx_IHuhSq3AJ5eI5OnqOPBNLWSHKh2a30DoXe8/edit?usp=sharing"",""ชุมพร!J472"")"),6403)</f>
        <v>6403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IFERROR(__xludf.DUMMYFUNCTION("IMPORTRANGE(""https://docs.google.com/spreadsheets/d/1IYY_tgx_IHuhSq3AJ5eI5OnqOPBNLWSHKh2a30DoXe8/edit?usp=sharing"",""ชุมพร!I473"")"),0)</f>
        <v>0</v>
      </c>
      <c r="J578" s="204">
        <f ca="1">IFERROR(__xludf.DUMMYFUNCTION("IMPORTRANGE(""https://docs.google.com/spreadsheets/d/1IYY_tgx_IHuhSq3AJ5eI5OnqOPBNLWSHKh2a30DoXe8/edit?usp=sharing"",""ชุมพร!J473"")"),0)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IFERROR(__xludf.DUMMYFUNCTION("IMPORTRANGE(""https://docs.google.com/spreadsheets/d/1IYY_tgx_IHuhSq3AJ5eI5OnqOPBNLWSHKh2a30DoXe8/edit?usp=sharing"",""ชุมพร!I474"")"),0)</f>
        <v>0</v>
      </c>
      <c r="J579" s="204">
        <f ca="1">IFERROR(__xludf.DUMMYFUNCTION("IMPORTRANGE(""https://docs.google.com/spreadsheets/d/1IYY_tgx_IHuhSq3AJ5eI5OnqOPBNLWSHKh2a30DoXe8/edit?usp=sharing"",""ชุมพร!J474"")"),0)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IFERROR(__xludf.DUMMYFUNCTION("IMPORTRANGE(""https://docs.google.com/spreadsheets/d/1IYY_tgx_IHuhSq3AJ5eI5OnqOPBNLWSHKh2a30DoXe8/edit?usp=sharing"",""ชุมพร!L476"")"),0)</f>
        <v>0</v>
      </c>
      <c r="M581" s="168"/>
      <c r="N581" s="175">
        <f ca="1">IFERROR(__xludf.DUMMYFUNCTION("IMPORTRANGE(""https://docs.google.com/spreadsheets/d/1IYY_tgx_IHuhSq3AJ5eI5OnqOPBNLWSHKh2a30DoXe8/edit?usp=sharing"",""ชุมพร!M476"")"),0)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5">
        <f ca="1">IFERROR(__xludf.DUMMYFUNCTION("IMPORTRANGE(""https://docs.google.com/spreadsheets/d/1IYY_tgx_IHuhSq3AJ5eI5OnqOPBNLWSHKh2a30DoXe8/edit?usp=sharing"",""ชุมพร!M477"")"),0)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IFERROR(__xludf.DUMMYFUNCTION("IMPORTRANGE(""https://docs.google.com/spreadsheets/d/1IYY_tgx_IHuhSq3AJ5eI5OnqOPBNLWSHKh2a30DoXe8/edit?usp=sharing"",""ชุมพร!L478"")"),0)</f>
        <v>0</v>
      </c>
      <c r="M583" s="175"/>
      <c r="N583" s="175">
        <f ca="1">IFERROR(__xludf.DUMMYFUNCTION("IMPORTRANGE(""https://docs.google.com/spreadsheets/d/1IYY_tgx_IHuhSq3AJ5eI5OnqOPBNLWSHKh2a30DoXe8/edit?usp=sharing"",""ชุมพร!M478"")"),0)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IFERROR(__xludf.DUMMYFUNCTION("IMPORTRANGE(""https://docs.google.com/spreadsheets/d/1IYY_tgx_IHuhSq3AJ5eI5OnqOPBNLWSHKh2a30DoXe8/edit?usp=sharing"",""ชุมพร!L479"")"),0)</f>
        <v>0</v>
      </c>
      <c r="M584" s="175"/>
      <c r="N584" s="175">
        <f ca="1">IFERROR(__xludf.DUMMYFUNCTION("IMPORTRANGE(""https://docs.google.com/spreadsheets/d/1IYY_tgx_IHuhSq3AJ5eI5OnqOPBNLWSHKh2a30DoXe8/edit?usp=sharing"",""ชุมพร!M479"")"),0)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IFERROR(__xludf.DUMMYFUNCTION("IMPORTRANGE(""https://docs.google.com/spreadsheets/d/1IYY_tgx_IHuhSq3AJ5eI5OnqOPBNLWSHKh2a30DoXe8/edit?usp=sharing"",""ชุมพร!M480"")"),0)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IFERROR(__xludf.DUMMYFUNCTION("IMPORTRANGE(""https://docs.google.com/spreadsheets/d/1IYY_tgx_IHuhSq3AJ5eI5OnqOPBNLWSHKh2a30DoXe8/edit?usp=sharing"",""ชุมพร!M481"")"),0)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IFERROR(__xludf.DUMMYFUNCTION("IMPORTRANGE(""https://docs.google.com/spreadsheets/d/1IYY_tgx_IHuhSq3AJ5eI5OnqOPBNLWSHKh2a30DoXe8/edit?usp=sharing"",""ชุมพร!M482"")"),0)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IFERROR(__xludf.DUMMYFUNCTION("IMPORTRANGE(""https://docs.google.com/spreadsheets/d/1IYY_tgx_IHuhSq3AJ5eI5OnqOPBNLWSHKh2a30DoXe8/edit?usp=sharing"",""ชุมพร!M483"")"),0)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4">
        <f ca="1">IFERROR(__xludf.DUMMYFUNCTION("IMPORTRANGE(""https://docs.google.com/spreadsheets/d/1IYY_tgx_IHuhSq3AJ5eI5OnqOPBNLWSHKh2a30DoXe8/edit?usp=sharing"",""ชุมพร!J484"")"),2)</f>
        <v>2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4">
        <f ca="1">IFERROR(__xludf.DUMMYFUNCTION("IMPORTRANGE(""https://docs.google.com/spreadsheets/d/1IYY_tgx_IHuhSq3AJ5eI5OnqOPBNLWSHKh2a30DoXe8/edit?usp=sharing"",""ชุมพร!J485"")"),0.88)</f>
        <v>0.88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4">
        <f ca="1">IFERROR(__xludf.DUMMYFUNCTION("IMPORTRANGE(""https://docs.google.com/spreadsheets/d/1IYY_tgx_IHuhSq3AJ5eI5OnqOPBNLWSHKh2a30DoXe8/edit?usp=sharing"",""ชุมพร!J486"")"),0)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4">
        <f ca="1">IFERROR(__xludf.DUMMYFUNCTION("IMPORTRANGE(""https://docs.google.com/spreadsheets/d/1IYY_tgx_IHuhSq3AJ5eI5OnqOPBNLWSHKh2a30DoXe8/edit?usp=sharing"",""ชุมพร!J487"")"),0)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4">
        <f ca="1">IFERROR(__xludf.DUMMYFUNCTION("IMPORTRANGE(""https://docs.google.com/spreadsheets/d/1IYY_tgx_IHuhSq3AJ5eI5OnqOPBNLWSHKh2a30DoXe8/edit?usp=sharing"",""ชุมพร!J488"")"),0)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4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4">
        <f ca="1">IFERROR(__xludf.DUMMYFUNCTION("IMPORTRANGE(""https://docs.google.com/spreadsheets/d/1IYY_tgx_IHuhSq3AJ5eI5OnqOPBNLWSHKh2a30DoXe8/edit?usp=sharing"",""ชุมพร!J490"")"),0)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IFERROR(__xludf.DUMMYFUNCTION("IMPORTRANGE(""https://docs.google.com/spreadsheets/d/1IYY_tgx_IHuhSq3AJ5eI5OnqOPBNLWSHKh2a30DoXe8/edit?usp=sharing"",""ชุมพร!I491"")"),0)</f>
        <v>0</v>
      </c>
      <c r="J596" s="247">
        <f ca="1">IFERROR(__xludf.DUMMYFUNCTION("IMPORTRANGE(""https://docs.google.com/spreadsheets/d/1IYY_tgx_IHuhSq3AJ5eI5OnqOPBNLWSHKh2a30DoXe8/edit?usp=sharing"",""ชุมพร!J491"")"),0)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4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IFERROR(__xludf.DUMMYFUNCTION("IMPORTRANGE(""https://docs.google.com/spreadsheets/d/1IYY_tgx_IHuhSq3AJ5eI5OnqOPBNLWSHKh2a30DoXe8/edit?usp=sharing"",""ชุมพร!L492"")"),12900)</f>
        <v>12900</v>
      </c>
      <c r="M597" s="418"/>
      <c r="N597" s="418">
        <f ca="1">IFERROR(__xludf.DUMMYFUNCTION("IMPORTRANGE(""https://docs.google.com/spreadsheets/d/1IYY_tgx_IHuhSq3AJ5eI5OnqOPBNLWSHKh2a30DoXe8/edit?usp=sharing"",""ชุมพร!M492"")"),3200)</f>
        <v>3200</v>
      </c>
      <c r="O597" s="418">
        <f t="shared" ref="O597:O601" ca="1" si="126">+IF(L597&gt;0,N597*100/L597,0)</f>
        <v>24.806201550387598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IFERROR(__xludf.DUMMYFUNCTION("IMPORTRANGE(""https://docs.google.com/spreadsheets/d/1IYY_tgx_IHuhSq3AJ5eI5OnqOPBNLWSHKh2a30DoXe8/edit?usp=sharing"",""ชุมพร!L493"")"),0)</f>
        <v>0</v>
      </c>
      <c r="M598" s="168"/>
      <c r="N598" s="175">
        <f ca="1">IFERROR(__xludf.DUMMYFUNCTION("IMPORTRANGE(""https://docs.google.com/spreadsheets/d/1IYY_tgx_IHuhSq3AJ5eI5OnqOPBNLWSHKh2a30DoXe8/edit?usp=sharing"",""ชุมพร!M493"")"),0)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IFERROR(__xludf.DUMMYFUNCTION("IMPORTRANGE(""https://docs.google.com/spreadsheets/d/1IYY_tgx_IHuhSq3AJ5eI5OnqOPBNLWSHKh2a30DoXe8/edit?usp=sharing"",""ชุมพร!L494"")"),12900)</f>
        <v>12900</v>
      </c>
      <c r="M599" s="169"/>
      <c r="N599" s="175">
        <f ca="1">IFERROR(__xludf.DUMMYFUNCTION("IMPORTRANGE(""https://docs.google.com/spreadsheets/d/1IYY_tgx_IHuhSq3AJ5eI5OnqOPBNLWSHKh2a30DoXe8/edit?usp=sharing"",""ชุมพร!M494"")"),3200)</f>
        <v>3200</v>
      </c>
      <c r="O599" s="175">
        <f t="shared" ca="1" si="126"/>
        <v>24.806201550387598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IFERROR(__xludf.DUMMYFUNCTION("IMPORTRANGE(""https://docs.google.com/spreadsheets/d/1IYY_tgx_IHuhSq3AJ5eI5OnqOPBNLWSHKh2a30DoXe8/edit?usp=sharing"",""ชุมพร!L495"")"),0)</f>
        <v>0</v>
      </c>
      <c r="M600" s="175"/>
      <c r="N600" s="175">
        <f ca="1">IFERROR(__xludf.DUMMYFUNCTION("IMPORTRANGE(""https://docs.google.com/spreadsheets/d/1IYY_tgx_IHuhSq3AJ5eI5OnqOPBNLWSHKh2a30DoXe8/edit?usp=sharing"",""ชุมพร!M495"")"),0)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IFERROR(__xludf.DUMMYFUNCTION("IMPORTRANGE(""https://docs.google.com/spreadsheets/d/1IYY_tgx_IHuhSq3AJ5eI5OnqOPBNLWSHKh2a30DoXe8/edit?usp=sharing"",""ชุมพร!L496"")"),12900)</f>
        <v>12900</v>
      </c>
      <c r="M601" s="175"/>
      <c r="N601" s="175">
        <f ca="1">IFERROR(__xludf.DUMMYFUNCTION("IMPORTRANGE(""https://docs.google.com/spreadsheets/d/1IYY_tgx_IHuhSq3AJ5eI5OnqOPBNLWSHKh2a30DoXe8/edit?usp=sharing"",""ชุมพร!M496"")"),3200)</f>
        <v>3200</v>
      </c>
      <c r="O601" s="175">
        <f t="shared" ca="1" si="126"/>
        <v>24.806201550387598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IFERROR(__xludf.DUMMYFUNCTION("IMPORTRANGE(""https://docs.google.com/spreadsheets/d/1IYY_tgx_IHuhSq3AJ5eI5OnqOPBNLWSHKh2a30DoXe8/edit?usp=sharing"",""ชุมพร!M497"")"),0)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IFERROR(__xludf.DUMMYFUNCTION("IMPORTRANGE(""https://docs.google.com/spreadsheets/d/1IYY_tgx_IHuhSq3AJ5eI5OnqOPBNLWSHKh2a30DoXe8/edit?usp=sharing"",""ชุมพร!M498"")"),0)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IFERROR(__xludf.DUMMYFUNCTION("IMPORTRANGE(""https://docs.google.com/spreadsheets/d/1IYY_tgx_IHuhSq3AJ5eI5OnqOPBNLWSHKh2a30DoXe8/edit?usp=sharing"",""ชุมพร!M500"")"),3200)</f>
        <v>3200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IFERROR(__xludf.DUMMYFUNCTION("IMPORTRANGE(""https://docs.google.com/spreadsheets/d/1IYY_tgx_IHuhSq3AJ5eI5OnqOPBNLWSHKh2a30DoXe8/edit?usp=sharing"",""ชุมพร!J502"")"),0)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IFERROR(__xludf.DUMMYFUNCTION("IMPORTRANGE(""https://docs.google.com/spreadsheets/d/1IYY_tgx_IHuhSq3AJ5eI5OnqOPBNLWSHKh2a30DoXe8/edit?usp=sharing"",""ชุมพร!J503"")"),1)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IFERROR(__xludf.DUMMYFUNCTION("IMPORTRANGE(""https://docs.google.com/spreadsheets/d/1IYY_tgx_IHuhSq3AJ5eI5OnqOPBNLWSHKh2a30DoXe8/edit?usp=sharing"",""ชุมพร!J166"")"),0)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IFERROR(__xludf.DUMMYFUNCTION("IMPORTRANGE(""https://docs.google.com/spreadsheets/d/1IYY_tgx_IHuhSq3AJ5eI5OnqOPBNLWSHKh2a30DoXe8/edit?usp=sharing"",""ชุมพร!J166"")"),0)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IFERROR(__xludf.DUMMYFUNCTION("IMPORTRANGE(""https://docs.google.com/spreadsheets/d/1IYY_tgx_IHuhSq3AJ5eI5OnqOPBNLWSHKh2a30DoXe8/edit?usp=sharing"",""ชุมพร!I506"")"),100)</f>
        <v>100</v>
      </c>
      <c r="J611" s="166">
        <f ca="1">IFERROR(__xludf.DUMMYFUNCTION("IMPORTRANGE(""https://docs.google.com/spreadsheets/d/1IYY_tgx_IHuhSq3AJ5eI5OnqOPBNLWSHKh2a30DoXe8/edit?usp=sharing"",""ชุมพร!J506"")"),0)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IFERROR(__xludf.DUMMYFUNCTION("IMPORTRANGE(""https://docs.google.com/spreadsheets/d/1IYY_tgx_IHuhSq3AJ5eI5OnqOPBNLWSHKh2a30DoXe8/edit?usp=sharing"",""ชุมพร!I507"")"),0)</f>
        <v>0</v>
      </c>
      <c r="J612" s="204">
        <f ca="1">IFERROR(__xludf.DUMMYFUNCTION("IMPORTRANGE(""https://docs.google.com/spreadsheets/d/1IYY_tgx_IHuhSq3AJ5eI5OnqOPBNLWSHKh2a30DoXe8/edit?usp=sharing"",""ชุมพร!J507"")"),0)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IFERROR(__xludf.DUMMYFUNCTION("IMPORTRANGE(""https://docs.google.com/spreadsheets/d/1IYY_tgx_IHuhSq3AJ5eI5OnqOPBNLWSHKh2a30DoXe8/edit?usp=sharing"",""ชุมพร!I508"")"),0)</f>
        <v>0</v>
      </c>
      <c r="J613" s="204">
        <f ca="1">IFERROR(__xludf.DUMMYFUNCTION("IMPORTRANGE(""https://docs.google.com/spreadsheets/d/1IYY_tgx_IHuhSq3AJ5eI5OnqOPBNLWSHKh2a30DoXe8/edit?usp=sharing"",""ชุมพร!J508"")"),0)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IFERROR(__xludf.DUMMYFUNCTION("IMPORTRANGE(""https://docs.google.com/spreadsheets/d/1IYY_tgx_IHuhSq3AJ5eI5OnqOPBNLWSHKh2a30DoXe8/edit?usp=sharing"",""ชุมพร!I509"")"),0)</f>
        <v>0</v>
      </c>
      <c r="J614" s="204">
        <f ca="1">IFERROR(__xludf.DUMMYFUNCTION("IMPORTRANGE(""https://docs.google.com/spreadsheets/d/1IYY_tgx_IHuhSq3AJ5eI5OnqOPBNLWSHKh2a30DoXe8/edit?usp=sharing"",""ชุมพร!J509"")"),0)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IFERROR(__xludf.DUMMYFUNCTION("IMPORTRANGE(""https://docs.google.com/spreadsheets/d/1IYY_tgx_IHuhSq3AJ5eI5OnqOPBNLWSHKh2a30DoXe8/edit?usp=sharing"",""ชุมพร!I510"")"),0)</f>
        <v>0</v>
      </c>
      <c r="J615" s="204">
        <f ca="1">IFERROR(__xludf.DUMMYFUNCTION("IMPORTRANGE(""https://docs.google.com/spreadsheets/d/1IYY_tgx_IHuhSq3AJ5eI5OnqOPBNLWSHKh2a30DoXe8/edit?usp=sharing"",""ชุมพร!J510"")"),0)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IFERROR(__xludf.DUMMYFUNCTION("IMPORTRANGE(""https://docs.google.com/spreadsheets/d/1IYY_tgx_IHuhSq3AJ5eI5OnqOPBNLWSHKh2a30DoXe8/edit?usp=sharing"",""ชุมพร!I511"")"),0)</f>
        <v>0</v>
      </c>
      <c r="J616" s="204">
        <f ca="1">IFERROR(__xludf.DUMMYFUNCTION("IMPORTRANGE(""https://docs.google.com/spreadsheets/d/1IYY_tgx_IHuhSq3AJ5eI5OnqOPBNLWSHKh2a30DoXe8/edit?usp=sharing"",""ชุมพร!J511"")"),0)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IFERROR(__xludf.DUMMYFUNCTION("IMPORTRANGE(""https://docs.google.com/spreadsheets/d/1IYY_tgx_IHuhSq3AJ5eI5OnqOPBNLWSHKh2a30DoXe8/edit?usp=sharing"",""ชุมพร!I512"")"),0)</f>
        <v>0</v>
      </c>
      <c r="J617" s="194">
        <f ca="1">IFERROR(__xludf.DUMMYFUNCTION("IMPORTRANGE(""https://docs.google.com/spreadsheets/d/1IYY_tgx_IHuhSq3AJ5eI5OnqOPBNLWSHKh2a30DoXe8/edit?usp=sharing"",""ชุมพร!J512"")"),0)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IFERROR(__xludf.DUMMYFUNCTION("IMPORTRANGE(""https://docs.google.com/spreadsheets/d/1IYY_tgx_IHuhSq3AJ5eI5OnqOPBNLWSHKh2a30DoXe8/edit?usp=sharing"",""ชุมพร!I513"")"),0)</f>
        <v>0</v>
      </c>
      <c r="J618" s="195">
        <f ca="1">IFERROR(__xludf.DUMMYFUNCTION("IMPORTRANGE(""https://docs.google.com/spreadsheets/d/1IYY_tgx_IHuhSq3AJ5eI5OnqOPBNLWSHKh2a30DoXe8/edit?usp=sharing"",""ชุมพร!J513"")"),0)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IFERROR(__xludf.DUMMYFUNCTION("IMPORTRANGE(""https://docs.google.com/spreadsheets/d/1IYY_tgx_IHuhSq3AJ5eI5OnqOPBNLWSHKh2a30DoXe8/edit?usp=sharing"",""ชุมพร!I514"")"),0)</f>
        <v>0</v>
      </c>
      <c r="J619" s="195">
        <f ca="1">IFERROR(__xludf.DUMMYFUNCTION("IMPORTRANGE(""https://docs.google.com/spreadsheets/d/1IYY_tgx_IHuhSq3AJ5eI5OnqOPBNLWSHKh2a30DoXe8/edit?usp=sharing"",""ชุมพร!J514"")"),0)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IFERROR(__xludf.DUMMYFUNCTION("IMPORTRANGE(""https://docs.google.com/spreadsheets/d/1IYY_tgx_IHuhSq3AJ5eI5OnqOPBNLWSHKh2a30DoXe8/edit?usp=sharing"",""ชุมพร!I515"")"),0)</f>
        <v>0</v>
      </c>
      <c r="J620" s="209">
        <f ca="1">IFERROR(__xludf.DUMMYFUNCTION("IMPORTRANGE(""https://docs.google.com/spreadsheets/d/1IYY_tgx_IHuhSq3AJ5eI5OnqOPBNLWSHKh2a30DoXe8/edit?usp=sharing"",""ชุมพร!J515"")"),0)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IFERROR(__xludf.DUMMYFUNCTION("IMPORTRANGE(""https://docs.google.com/spreadsheets/d/1IYY_tgx_IHuhSq3AJ5eI5OnqOPBNLWSHKh2a30DoXe8/edit?usp=sharing"",""ชุมพร!I516"")"),0)</f>
        <v>0</v>
      </c>
      <c r="J621" s="209">
        <f ca="1">IFERROR(__xludf.DUMMYFUNCTION("IMPORTRANGE(""https://docs.google.com/spreadsheets/d/1IYY_tgx_IHuhSq3AJ5eI5OnqOPBNLWSHKh2a30DoXe8/edit?usp=sharing"",""ชุมพร!J516"")"),0)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IFERROR(__xludf.DUMMYFUNCTION("IMPORTRANGE(""https://docs.google.com/spreadsheets/d/1IYY_tgx_IHuhSq3AJ5eI5OnqOPBNLWSHKh2a30DoXe8/edit?usp=sharing"",""ชุมพร!I517"")"),0)</f>
        <v>0</v>
      </c>
      <c r="J622" s="195">
        <f ca="1">IFERROR(__xludf.DUMMYFUNCTION("IMPORTRANGE(""https://docs.google.com/spreadsheets/d/1IYY_tgx_IHuhSq3AJ5eI5OnqOPBNLWSHKh2a30DoXe8/edit?usp=sharing"",""ชุมพร!J517"")"),0)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IFERROR(__xludf.DUMMYFUNCTION("IMPORTRANGE(""https://docs.google.com/spreadsheets/d/1IYY_tgx_IHuhSq3AJ5eI5OnqOPBNLWSHKh2a30DoXe8/edit?usp=sharing"",""ชุมพร!I518"")"),0)</f>
        <v>0</v>
      </c>
      <c r="J623" s="195">
        <f ca="1">IFERROR(__xludf.DUMMYFUNCTION("IMPORTRANGE(""https://docs.google.com/spreadsheets/d/1IYY_tgx_IHuhSq3AJ5eI5OnqOPBNLWSHKh2a30DoXe8/edit?usp=sharing"",""ชุมพร!J518"")"),0)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IFERROR(__xludf.DUMMYFUNCTION("IMPORTRANGE(""https://docs.google.com/spreadsheets/d/1IYY_tgx_IHuhSq3AJ5eI5OnqOPBNLWSHKh2a30DoXe8/edit?usp=sharing"",""ชุมพร!I519"")"),0)</f>
        <v>0</v>
      </c>
      <c r="J624" s="194">
        <f ca="1">IFERROR(__xludf.DUMMYFUNCTION("IMPORTRANGE(""https://docs.google.com/spreadsheets/d/1IYY_tgx_IHuhSq3AJ5eI5OnqOPBNLWSHKh2a30DoXe8/edit?usp=sharing"",""ชุมพร!J519"")"),0)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IFERROR(__xludf.DUMMYFUNCTION("IMPORTRANGE(""https://docs.google.com/spreadsheets/d/1IYY_tgx_IHuhSq3AJ5eI5OnqOPBNLWSHKh2a30DoXe8/edit?usp=sharing"",""ชุมพร!I520"")"),0)</f>
        <v>0</v>
      </c>
      <c r="J625" s="195">
        <f ca="1">IFERROR(__xludf.DUMMYFUNCTION("IMPORTRANGE(""https://docs.google.com/spreadsheets/d/1IYY_tgx_IHuhSq3AJ5eI5OnqOPBNLWSHKh2a30DoXe8/edit?usp=sharing"",""ชุมพร!J520"")"),0)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IFERROR(__xludf.DUMMYFUNCTION("IMPORTRANGE(""https://docs.google.com/spreadsheets/d/1IYY_tgx_IHuhSq3AJ5eI5OnqOPBNLWSHKh2a30DoXe8/edit?usp=sharing"",""ชุมพร!I521"")"),0)</f>
        <v>0</v>
      </c>
      <c r="J626" s="195">
        <f ca="1">IFERROR(__xludf.DUMMYFUNCTION("IMPORTRANGE(""https://docs.google.com/spreadsheets/d/1IYY_tgx_IHuhSq3AJ5eI5OnqOPBNLWSHKh2a30DoXe8/edit?usp=sharing"",""ชุมพร!J521"")"),0)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IFERROR(__xludf.DUMMYFUNCTION("IMPORTRANGE(""https://docs.google.com/spreadsheets/d/1IYY_tgx_IHuhSq3AJ5eI5OnqOPBNLWSHKh2a30DoXe8/edit?usp=sharing"",""ชุมพร!J523"")"),467060.17)</f>
        <v>467060.17</v>
      </c>
      <c r="K628" s="348">
        <f t="shared" ref="K628:K635" ca="1" si="129">IF(I628&gt;0,J628*100/I628,0)</f>
        <v>46.859218058929685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IFERROR(__xludf.DUMMYFUNCTION("IMPORTRANGE(""https://docs.google.com/spreadsheets/d/1IYY_tgx_IHuhSq3AJ5eI5OnqOPBNLWSHKh2a30DoXe8/edit?usp=sharing"",""ชุมพร!J524"")"),45)</f>
        <v>45</v>
      </c>
      <c r="K629" s="348">
        <f t="shared" ca="1" si="129"/>
        <v>45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IFERROR(__xludf.DUMMYFUNCTION("IMPORTRANGE(""https://docs.google.com/spreadsheets/d/1IYY_tgx_IHuhSq3AJ5eI5OnqOPBNLWSHKh2a30DoXe8/edit?usp=sharing"",""ชุมพร!J525"")"),574877.8)</f>
        <v>574877.80000000005</v>
      </c>
      <c r="K630" s="348">
        <f t="shared" ca="1" si="129"/>
        <v>85.795362830049569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IFERROR(__xludf.DUMMYFUNCTION("IMPORTRANGE(""https://docs.google.com/spreadsheets/d/1IYY_tgx_IHuhSq3AJ5eI5OnqOPBNLWSHKh2a30DoXe8/edit?usp=sharing"",""ชุมพร!J526"")"),34)</f>
        <v>34</v>
      </c>
      <c r="K631" s="348">
        <f t="shared" ca="1" si="129"/>
        <v>125.92592592592592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IFERROR(__xludf.DUMMYFUNCTION("IMPORTRANGE(""https://docs.google.com/spreadsheets/d/1IYY_tgx_IHuhSq3AJ5eI5OnqOPBNLWSHKh2a30DoXe8/edit?usp=sharing"",""ชุมพร!I529"")"),1350000)</f>
        <v>1350000</v>
      </c>
      <c r="J634" s="347">
        <f ca="1">IFERROR(__xludf.DUMMYFUNCTION("IMPORTRANGE(""https://docs.google.com/spreadsheets/d/1IYY_tgx_IHuhSq3AJ5eI5OnqOPBNLWSHKh2a30DoXe8/edit?usp=sharing"",""ชุมพร!J529"")"),1350000)</f>
        <v>1350000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IFERROR(__xludf.DUMMYFUNCTION("IMPORTRANGE(""https://docs.google.com/spreadsheets/d/1IYY_tgx_IHuhSq3AJ5eI5OnqOPBNLWSHKh2a30DoXe8/edit?usp=sharing"",""ชุมพร!I530"")"),45)</f>
        <v>45</v>
      </c>
      <c r="J635" s="518">
        <f ca="1">IFERROR(__xludf.DUMMYFUNCTION("IMPORTRANGE(""https://docs.google.com/spreadsheets/d/1IYY_tgx_IHuhSq3AJ5eI5OnqOPBNLWSHKh2a30DoXe8/edit?usp=sharing"",""ชุมพร!J530"")"),45)</f>
        <v>45</v>
      </c>
      <c r="K635" s="493">
        <f t="shared" ca="1" si="129"/>
        <v>100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IFERROR(__xludf.DUMMYFUNCTION("IMPORTRANGE(""https://docs.google.com/spreadsheets/d/1IYY_tgx_IHuhSq3AJ5eI5OnqOPBNLWSHKh2a30DoXe8/edit?usp=sharing"",""ชุมพร!J541"")"),0)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IFERROR(__xludf.DUMMYFUNCTION("IMPORTRANGE(""https://docs.google.com/spreadsheets/d/1IYY_tgx_IHuhSq3AJ5eI5OnqOPBNLWSHKh2a30DoXe8/edit?usp=sharing"",""ชุมพร!J542"")"),0)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IFERROR(__xludf.DUMMYFUNCTION("IMPORTRANGE(""https://docs.google.com/spreadsheets/d/1IYY_tgx_IHuhSq3AJ5eI5OnqOPBNLWSHKh2a30DoXe8/edit?usp=sharing"",""ชุมพร!I543"")"),0)</f>
        <v>0</v>
      </c>
      <c r="J648" s="547">
        <f ca="1">IFERROR(__xludf.DUMMYFUNCTION("IMPORTRANGE(""https://docs.google.com/spreadsheets/d/1IYY_tgx_IHuhSq3AJ5eI5OnqOPBNLWSHKh2a30DoXe8/edit?usp=sharing"",""ชุมพร!J543"")"),0)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IFERROR(__xludf.DUMMYFUNCTION("IMPORTRANGE(""https://docs.google.com/spreadsheets/d/1IYY_tgx_IHuhSq3AJ5eI5OnqOPBNLWSHKh2a30DoXe8/edit?usp=sharing"",""ชุมพร!L543"")"),0)</f>
        <v>0</v>
      </c>
      <c r="M648" s="534"/>
      <c r="N648" s="549">
        <f ca="1">IFERROR(__xludf.DUMMYFUNCTION("IMPORTRANGE(""https://docs.google.com/spreadsheets/d/1IYY_tgx_IHuhSq3AJ5eI5OnqOPBNLWSHKh2a30DoXe8/edit?usp=sharing"",""ชุมพร!M543"")"),0)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IFERROR(__xludf.DUMMYFUNCTION("IMPORTRANGE(""https://docs.google.com/spreadsheets/d/1IYY_tgx_IHuhSq3AJ5eI5OnqOPBNLWSHKh2a30DoXe8/edit?usp=sharing"",""ชุมพร!I544"")"),0)</f>
        <v>0</v>
      </c>
      <c r="J649" s="547">
        <f ca="1">IFERROR(__xludf.DUMMYFUNCTION("IMPORTRANGE(""https://docs.google.com/spreadsheets/d/1IYY_tgx_IHuhSq3AJ5eI5OnqOPBNLWSHKh2a30DoXe8/edit?usp=sharing"",""ชุมพร!J544"")"),0)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IFERROR(__xludf.DUMMYFUNCTION("IMPORTRANGE(""https://docs.google.com/spreadsheets/d/1IYY_tgx_IHuhSq3AJ5eI5OnqOPBNLWSHKh2a30DoXe8/edit?usp=sharing"",""ชุมพร!L544"")"),0)</f>
        <v>0</v>
      </c>
      <c r="M649" s="534"/>
      <c r="N649" s="549">
        <f ca="1">IFERROR(__xludf.DUMMYFUNCTION("IMPORTRANGE(""https://docs.google.com/spreadsheets/d/1IYY_tgx_IHuhSq3AJ5eI5OnqOPBNLWSHKh2a30DoXe8/edit?usp=sharing"",""ชุมพร!M544"")"),0)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IFERROR(__xludf.DUMMYFUNCTION("IMPORTRANGE(""https://docs.google.com/spreadsheets/d/1IYY_tgx_IHuhSq3AJ5eI5OnqOPBNLWSHKh2a30DoXe8/edit?usp=sharing"",""ชุมพร!I545"")"),0)</f>
        <v>0</v>
      </c>
      <c r="J650" s="547">
        <f ca="1">IFERROR(__xludf.DUMMYFUNCTION("IMPORTRANGE(""https://docs.google.com/spreadsheets/d/1IYY_tgx_IHuhSq3AJ5eI5OnqOPBNLWSHKh2a30DoXe8/edit?usp=sharing"",""ชุมพร!J545"")"),0)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IFERROR(__xludf.DUMMYFUNCTION("IMPORTRANGE(""https://docs.google.com/spreadsheets/d/1IYY_tgx_IHuhSq3AJ5eI5OnqOPBNLWSHKh2a30DoXe8/edit?usp=sharing"",""ชุมพร!L545"")"),0)</f>
        <v>0</v>
      </c>
      <c r="M650" s="534"/>
      <c r="N650" s="549">
        <f ca="1">IFERROR(__xludf.DUMMYFUNCTION("IMPORTRANGE(""https://docs.google.com/spreadsheets/d/1IYY_tgx_IHuhSq3AJ5eI5OnqOPBNLWSHKh2a30DoXe8/edit?usp=sharing"",""ชุมพร!M545"")"),0)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IFERROR(__xludf.DUMMYFUNCTION("IMPORTRANGE(""https://docs.google.com/spreadsheets/d/1IYY_tgx_IHuhSq3AJ5eI5OnqOPBNLWSHKh2a30DoXe8/edit?usp=sharing"",""ชุมพร!I546"")"),0)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IFERROR(__xludf.DUMMYFUNCTION("IMPORTRANGE(""https://docs.google.com/spreadsheets/d/1IYY_tgx_IHuhSq3AJ5eI5OnqOPBNLWSHKh2a30DoXe8/edit?usp=sharing"",""ชุมพร!L546"")"),0)</f>
        <v>0</v>
      </c>
      <c r="M651" s="534"/>
      <c r="N651" s="549">
        <f ca="1">IFERROR(__xludf.DUMMYFUNCTION("IMPORTRANGE(""https://docs.google.com/spreadsheets/d/1IYY_tgx_IHuhSq3AJ5eI5OnqOPBNLWSHKh2a30DoXe8/edit?usp=sharing"",""ชุมพร!M546"")"),0)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IFERROR(__xludf.DUMMYFUNCTION("IMPORTRANGE(""https://docs.google.com/spreadsheets/d/1IYY_tgx_IHuhSq3AJ5eI5OnqOPBNLWSHKh2a30DoXe8/edit?usp=sharing"",""ชุมพร!J547"")"),0)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IFERROR(__xludf.DUMMYFUNCTION("IMPORTRANGE(""https://docs.google.com/spreadsheets/d/1IYY_tgx_IHuhSq3AJ5eI5OnqOPBNLWSHKh2a30DoXe8/edit?usp=sharing"",""ชุมพร!J548"")"),0)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IFERROR(__xludf.DUMMYFUNCTION("IMPORTRANGE(""https://docs.google.com/spreadsheets/d/1IYY_tgx_IHuhSq3AJ5eI5OnqOPBNLWSHKh2a30DoXe8/edit?usp=sharing"",""ชุมพร!J550"")"),0)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IFERROR(__xludf.DUMMYFUNCTION("IMPORTRANGE(""https://docs.google.com/spreadsheets/d/1IYY_tgx_IHuhSq3AJ5eI5OnqOPBNLWSHKh2a30DoXe8/edit?usp=sharing"",""ชุมพร!J551"")"),0)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IFERROR(__xludf.DUMMYFUNCTION("IMPORTRANGE(""https://docs.google.com/spreadsheets/d/1IYY_tgx_IHuhSq3AJ5eI5OnqOPBNLWSHKh2a30DoXe8/edit?usp=sharing"",""ชุมพร!J552"")"),0)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IFERROR(__xludf.DUMMYFUNCTION("IMPORTRANGE(""https://docs.google.com/spreadsheets/d/1IYY_tgx_IHuhSq3AJ5eI5OnqOPBNLWSHKh2a30DoXe8/edit?usp=sharing"",""ชุมพร!J553"")"),0)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IFERROR(__xludf.DUMMYFUNCTION("IMPORTRANGE(""https://docs.google.com/spreadsheets/d/1IYY_tgx_IHuhSq3AJ5eI5OnqOPBNLWSHKh2a30DoXe8/edit?usp=sharing"",""ชุมพร!J554"")"),0)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IFERROR(__xludf.DUMMYFUNCTION("IMPORTRANGE(""https://docs.google.com/spreadsheets/d/1IYY_tgx_IHuhSq3AJ5eI5OnqOPBNLWSHKh2a30DoXe8/edit?usp=sharing"",""ชุมพร!J555"")"),0)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IFERROR(__xludf.DUMMYFUNCTION("IMPORTRANGE(""https://docs.google.com/spreadsheets/d/1IYY_tgx_IHuhSq3AJ5eI5OnqOPBNLWSHKh2a30DoXe8/edit?usp=sharing"",""ชุมพร!J556"")"),0)</f>
        <v>0</v>
      </c>
      <c r="K661" s="548"/>
      <c r="L661" s="535">
        <f ca="1">IFERROR(__xludf.DUMMYFUNCTION("IMPORTRANGE(""https://docs.google.com/spreadsheets/d/1IYY_tgx_IHuhSq3AJ5eI5OnqOPBNLWSHKh2a30DoXe8/edit?usp=sharing"",""ชุมพร!L556"")"),0)</f>
        <v>0</v>
      </c>
      <c r="M661" s="534"/>
      <c r="N661" s="549">
        <f ca="1">IFERROR(__xludf.DUMMYFUNCTION("IMPORTRANGE(""https://docs.google.com/spreadsheets/d/1IYY_tgx_IHuhSq3AJ5eI5OnqOPBNLWSHKh2a30DoXe8/edit?usp=sharing"",""ชุมพร!M556"")"),0)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IFERROR(__xludf.DUMMYFUNCTION("IMPORTRANGE(""https://docs.google.com/spreadsheets/d/1IYY_tgx_IHuhSq3AJ5eI5OnqOPBNLWSHKh2a30DoXe8/edit?usp=sharing"",""ชุมพร!J557"")"),0)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IFERROR(__xludf.DUMMYFUNCTION("IMPORTRANGE(""https://docs.google.com/spreadsheets/d/1IYY_tgx_IHuhSq3AJ5eI5OnqOPBNLWSHKh2a30DoXe8/edit?usp=sharing"",""ชุมพร!I558"")"),0)</f>
        <v>0</v>
      </c>
      <c r="J663" s="547">
        <f ca="1">IFERROR(__xludf.DUMMYFUNCTION("IMPORTRANGE(""https://docs.google.com/spreadsheets/d/1IYY_tgx_IHuhSq3AJ5eI5OnqOPBNLWSHKh2a30DoXe8/edit?usp=sharing"",""ชุมพร!J558"")"),0)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IFERROR(__xludf.DUMMYFUNCTION("IMPORTRANGE(""https://docs.google.com/spreadsheets/d/1IYY_tgx_IHuhSq3AJ5eI5OnqOPBNLWSHKh2a30DoXe8/edit?usp=sharing"",""ชุมพร!I560"")"),0)</f>
        <v>0</v>
      </c>
      <c r="J665" s="547">
        <f ca="1">IFERROR(__xludf.DUMMYFUNCTION("IMPORTRANGE(""https://docs.google.com/spreadsheets/d/1IYY_tgx_IHuhSq3AJ5eI5OnqOPBNLWSHKh2a30DoXe8/edit?usp=sharing"",""ชุมพร!J560"")"),0)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IFERROR(__xludf.DUMMYFUNCTION("IMPORTRANGE(""https://docs.google.com/spreadsheets/d/1IYY_tgx_IHuhSq3AJ5eI5OnqOPBNLWSHKh2a30DoXe8/edit?usp=sharing"",""ชุมพร!L560"")"),0)</f>
        <v>0</v>
      </c>
      <c r="M665" s="534"/>
      <c r="N665" s="549">
        <f ca="1">IFERROR(__xludf.DUMMYFUNCTION("IMPORTRANGE(""https://docs.google.com/spreadsheets/d/1IYY_tgx_IHuhSq3AJ5eI5OnqOPBNLWSHKh2a30DoXe8/edit?usp=sharing"",""ชุมพร!M560"")"),0)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IFERROR(__xludf.DUMMYFUNCTION("IMPORTRANGE(""https://docs.google.com/spreadsheets/d/1IYY_tgx_IHuhSq3AJ5eI5OnqOPBNLWSHKh2a30DoXe8/edit?usp=sharing"",""ชุมพร!J561"")"),0)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IFERROR(__xludf.DUMMYFUNCTION("IMPORTRANGE(""https://docs.google.com/spreadsheets/d/1IYY_tgx_IHuhSq3AJ5eI5OnqOPBNLWSHKh2a30DoXe8/edit?usp=sharing"",""ชุมพร!J562"")"),0)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IFERROR(__xludf.DUMMYFUNCTION("IMPORTRANGE(""https://docs.google.com/spreadsheets/d/1IYY_tgx_IHuhSq3AJ5eI5OnqOPBNLWSHKh2a30DoXe8/edit?usp=sharing"",""ชุมพร!I563"")"),0)</f>
        <v>0</v>
      </c>
      <c r="J668" s="547">
        <f ca="1">IFERROR(__xludf.DUMMYFUNCTION("IMPORTRANGE(""https://docs.google.com/spreadsheets/d/1IYY_tgx_IHuhSq3AJ5eI5OnqOPBNLWSHKh2a30DoXe8/edit?usp=sharing"",""ชุมพร!J563"")"),0)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IFERROR(__xludf.DUMMYFUNCTION("IMPORTRANGE(""https://docs.google.com/spreadsheets/d/1IYY_tgx_IHuhSq3AJ5eI5OnqOPBNLWSHKh2a30DoXe8/edit?usp=sharing"",""ชุมพร!L563"")"),0)</f>
        <v>0</v>
      </c>
      <c r="M668" s="534"/>
      <c r="N668" s="549">
        <f ca="1">IFERROR(__xludf.DUMMYFUNCTION("IMPORTRANGE(""https://docs.google.com/spreadsheets/d/1IYY_tgx_IHuhSq3AJ5eI5OnqOPBNLWSHKh2a30DoXe8/edit?usp=sharing"",""ชุมพร!M563"")"),0)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IFERROR(__xludf.DUMMYFUNCTION("IMPORTRANGE(""https://docs.google.com/spreadsheets/d/1IYY_tgx_IHuhSq3AJ5eI5OnqOPBNLWSHKh2a30DoXe8/edit?usp=sharing"",""ชุมพร!J564"")"),0)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IFERROR(__xludf.DUMMYFUNCTION("IMPORTRANGE(""https://docs.google.com/spreadsheets/d/1IYY_tgx_IHuhSq3AJ5eI5OnqOPBNLWSHKh2a30DoXe8/edit?usp=sharing"",""ชุมพร!J565"")"),0)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IFERROR(__xludf.DUMMYFUNCTION("IMPORTRANGE(""https://docs.google.com/spreadsheets/d/1IYY_tgx_IHuhSq3AJ5eI5OnqOPBNLWSHKh2a30DoXe8/edit?usp=sharing"",""ชุมพร!I566"")"),0)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IFERROR(__xludf.DUMMYFUNCTION("IMPORTRANGE(""https://docs.google.com/spreadsheets/d/1IYY_tgx_IHuhSq3AJ5eI5OnqOPBNLWSHKh2a30DoXe8/edit?usp=sharing"",""ชุมพร!L566"")"),0)</f>
        <v>0</v>
      </c>
      <c r="M671" s="534"/>
      <c r="N671" s="549">
        <f ca="1">IFERROR(__xludf.DUMMYFUNCTION("IMPORTRANGE(""https://docs.google.com/spreadsheets/d/1IYY_tgx_IHuhSq3AJ5eI5OnqOPBNLWSHKh2a30DoXe8/edit?usp=sharing"",""ชุมพร!M566"")"),0)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IFERROR(__xludf.DUMMYFUNCTION("IMPORTRANGE(""https://docs.google.com/spreadsheets/d/1IYY_tgx_IHuhSq3AJ5eI5OnqOPBNLWSHKh2a30DoXe8/edit?usp=sharing"",""ชุมพร!J567"")"),0)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IFERROR(__xludf.DUMMYFUNCTION("IMPORTRANGE(""https://docs.google.com/spreadsheets/d/1IYY_tgx_IHuhSq3AJ5eI5OnqOPBNLWSHKh2a30DoXe8/edit?usp=sharing"",""ชุมพร!J568"")"),0)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IFERROR(__xludf.DUMMYFUNCTION("IMPORTRANGE(""https://docs.google.com/spreadsheets/d/1IYY_tgx_IHuhSq3AJ5eI5OnqOPBNLWSHKh2a30DoXe8/edit?usp=sharing"",""ชุมพร!J569"")"),0)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IFERROR(__xludf.DUMMYFUNCTION("IMPORTRANGE(""https://docs.google.com/spreadsheets/d/1IYY_tgx_IHuhSq3AJ5eI5OnqOPBNLWSHKh2a30DoXe8/edit?usp=sharing"",""ชุมพร!J570"")"),0)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IFERROR(__xludf.DUMMYFUNCTION("IMPORTRANGE(""https://docs.google.com/spreadsheets/d/1IYY_tgx_IHuhSq3AJ5eI5OnqOPBNLWSHKh2a30DoXe8/edit?usp=sharing"",""ชุมพร!J571"")"),0)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IFERROR(__xludf.DUMMYFUNCTION("IMPORTRANGE(""https://docs.google.com/spreadsheets/d/1IYY_tgx_IHuhSq3AJ5eI5OnqOPBNLWSHKh2a30DoXe8/edit?usp=sharing"",""ชุมพร!J572"")"),0)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264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3904573</v>
      </c>
      <c r="M8" s="23">
        <f t="shared" ca="1" si="0"/>
        <v>2793831</v>
      </c>
      <c r="N8" s="23">
        <f t="shared" ca="1" si="0"/>
        <v>3239848.523</v>
      </c>
      <c r="O8" s="22">
        <f t="shared" ref="O8:O16" ca="1" si="1">IF(L8&gt;0,N8*100/L8,0)</f>
        <v>82.975744671696503</v>
      </c>
      <c r="P8" s="22">
        <f t="shared" ref="P8:P16" ca="1" si="2">IF(M8&gt;0,N8*100/M8,0)</f>
        <v>115.96437017843958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3904573</v>
      </c>
      <c r="M10" s="30">
        <f t="shared" ca="1" si="4"/>
        <v>2793831</v>
      </c>
      <c r="N10" s="30">
        <f t="shared" ca="1" si="4"/>
        <v>3239848.523</v>
      </c>
      <c r="O10" s="29">
        <f t="shared" ca="1" si="1"/>
        <v>82.975744671696503</v>
      </c>
      <c r="P10" s="29">
        <f t="shared" ca="1" si="2"/>
        <v>115.96437017843958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3660973</v>
      </c>
      <c r="M12" s="38">
        <f t="shared" ca="1" si="6"/>
        <v>2550231</v>
      </c>
      <c r="N12" s="38">
        <f t="shared" ca="1" si="6"/>
        <v>2996248.523</v>
      </c>
      <c r="O12" s="38">
        <f t="shared" ca="1" si="1"/>
        <v>81.842956039282456</v>
      </c>
      <c r="P12" s="38">
        <f t="shared" ca="1" si="2"/>
        <v>117.48929893017535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1786300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1874673</v>
      </c>
      <c r="M14" s="38">
        <f t="shared" si="8"/>
        <v>0</v>
      </c>
      <c r="N14" s="38">
        <f t="shared" ca="1" si="8"/>
        <v>1154093.253</v>
      </c>
      <c r="O14" s="41">
        <f t="shared" ca="1" si="1"/>
        <v>61.562376638485752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2663275</v>
      </c>
      <c r="M18" s="23">
        <f t="shared" ca="1" si="11"/>
        <v>2793831</v>
      </c>
      <c r="N18" s="23">
        <f t="shared" ca="1" si="11"/>
        <v>2085755.27</v>
      </c>
      <c r="O18" s="22">
        <f t="shared" ref="O18:O20" ca="1" si="12">IF(L18&gt;0,N18*100/L18,0)</f>
        <v>78.315430062610886</v>
      </c>
      <c r="P18" s="22">
        <f t="shared" ref="P18:P26" ca="1" si="13">IF(M18&gt;0,N18*100/M18,0)</f>
        <v>74.655742240672396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2663275</v>
      </c>
      <c r="M20" s="30">
        <f t="shared" ca="1" si="15"/>
        <v>2793831</v>
      </c>
      <c r="N20" s="30">
        <f t="shared" ca="1" si="15"/>
        <v>2085755.27</v>
      </c>
      <c r="O20" s="29">
        <f t="shared" ca="1" si="12"/>
        <v>78.315430062610886</v>
      </c>
      <c r="P20" s="29">
        <f t="shared" ca="1" si="13"/>
        <v>74.655742240672396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2419675</v>
      </c>
      <c r="M22" s="42">
        <f t="shared" ca="1" si="18"/>
        <v>2550231</v>
      </c>
      <c r="N22" s="41">
        <f t="shared" ca="1" si="18"/>
        <v>1842155.27</v>
      </c>
      <c r="O22" s="41">
        <f t="shared" ca="1" si="17"/>
        <v>76.132342979945648</v>
      </c>
      <c r="P22" s="41">
        <f t="shared" ca="1" si="13"/>
        <v>72.234839510616879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1786300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633375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1241298</v>
      </c>
      <c r="M28" s="23">
        <f t="shared" si="23"/>
        <v>0</v>
      </c>
      <c r="N28" s="23">
        <f t="shared" ca="1" si="23"/>
        <v>1154093.253</v>
      </c>
      <c r="O28" s="22">
        <f t="shared" ref="O28:O30" ca="1" si="24">IF(L28&gt;0,N28*100/L28,0)</f>
        <v>92.97471300203496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1241298</v>
      </c>
      <c r="M30" s="30">
        <f t="shared" si="27"/>
        <v>0</v>
      </c>
      <c r="N30" s="30">
        <f t="shared" ca="1" si="27"/>
        <v>1154093.253</v>
      </c>
      <c r="O30" s="29">
        <f t="shared" ca="1" si="24"/>
        <v>92.97471300203496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1241298</v>
      </c>
      <c r="M32" s="41">
        <f t="shared" si="30"/>
        <v>0</v>
      </c>
      <c r="N32" s="41">
        <f t="shared" ca="1" si="30"/>
        <v>1154093.253</v>
      </c>
      <c r="O32" s="41">
        <f t="shared" ca="1" si="29"/>
        <v>92.97471300203496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1241298</v>
      </c>
      <c r="M34" s="41">
        <f t="shared" si="32"/>
        <v>0</v>
      </c>
      <c r="N34" s="41">
        <f t="shared" ca="1" si="32"/>
        <v>1154093.253</v>
      </c>
      <c r="O34" s="41">
        <f t="shared" ca="1" si="29"/>
        <v>92.97471300203496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2663275</v>
      </c>
      <c r="M37" s="55">
        <f t="shared" ca="1" si="33"/>
        <v>2793831</v>
      </c>
      <c r="N37" s="55">
        <f t="shared" ca="1" si="33"/>
        <v>2085755.27</v>
      </c>
      <c r="O37" s="56">
        <f t="shared" ca="1" si="29"/>
        <v>78.315430062610886</v>
      </c>
      <c r="P37" s="56">
        <f t="shared" ca="1" si="25"/>
        <v>74.655742240672396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726100</v>
      </c>
      <c r="M41" s="79">
        <f t="shared" ca="1" si="34"/>
        <v>726100</v>
      </c>
      <c r="N41" s="79">
        <f t="shared" ca="1" si="34"/>
        <v>546673.52</v>
      </c>
      <c r="O41" s="78">
        <f t="shared" ref="O41:O43" ca="1" si="35">IF(L41&gt;0,N41*100/L41,0)</f>
        <v>75.289012532708995</v>
      </c>
      <c r="P41" s="78">
        <f t="shared" ref="P41:P43" ca="1" si="36">IF(M41&gt;0,N41*100/M41,0)</f>
        <v>75.289012532708995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726100</v>
      </c>
      <c r="M43" s="79">
        <f t="shared" ca="1" si="38"/>
        <v>726100</v>
      </c>
      <c r="N43" s="79">
        <f t="shared" ca="1" si="38"/>
        <v>546673.52</v>
      </c>
      <c r="O43" s="78">
        <f t="shared" ca="1" si="35"/>
        <v>75.289012532708995</v>
      </c>
      <c r="P43" s="78">
        <f t="shared" ca="1" si="36"/>
        <v>75.289012532708995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726100</v>
      </c>
      <c r="M45" s="91">
        <f ca="1">IFERROR(__xludf.DUMMYFUNCTION("IMPORTRANGE(""https://docs.google.com/spreadsheets/d/1Yj_ptqi66GCucihVvJfMjLAmec39IyEx_6qawtMGysU/edit?usp=sharing"",""สบก!Q83"")"),726100)</f>
        <v>726100</v>
      </c>
      <c r="N45" s="91">
        <f ca="1">IFERROR(__xludf.DUMMYFUNCTION("IMPORTRANGE(""https://docs.google.com/spreadsheets/d/1Yj_ptqi66GCucihVvJfMjLAmec39IyEx_6qawtMGysU/edit?usp=sharing"",""สบก!R83"")"),546673.52)</f>
        <v>546673.52</v>
      </c>
      <c r="O45" s="92">
        <f ca="1">IF(L45&gt;0,N45*100/L45,0)</f>
        <v>75.289012532708995</v>
      </c>
      <c r="P45" s="92">
        <f ca="1">IF(M45&gt;0,N45*100/M45,0)</f>
        <v>75.289012532708995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IFERROR(__xludf.DUMMYFUNCTION("IMPORTRANGE(""https://docs.google.com/spreadsheets/d/1Yj_ptqi66GCucihVvJfMjLAmec39IyEx_6qawtMGysU/edit?usp=sharing"",""สบก!M83"")"),726100)</f>
        <v>726100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340000</v>
      </c>
      <c r="M53" s="125">
        <f t="shared" ca="1" si="39"/>
        <v>354506</v>
      </c>
      <c r="N53" s="125">
        <f t="shared" ca="1" si="39"/>
        <v>260060.67</v>
      </c>
      <c r="O53" s="124">
        <f t="shared" ref="O53:O55" ca="1" si="40">IF(L53&gt;0,N53*100/L53,0)</f>
        <v>76.488432352941174</v>
      </c>
      <c r="P53" s="124">
        <f t="shared" ref="P53:P55" ca="1" si="41">IF(M53&gt;0,N53*100/M53,0)</f>
        <v>73.358608881090873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340000</v>
      </c>
      <c r="M55" s="125">
        <f t="shared" ca="1" si="43"/>
        <v>354506</v>
      </c>
      <c r="N55" s="125">
        <f t="shared" ca="1" si="43"/>
        <v>260060.67</v>
      </c>
      <c r="O55" s="124">
        <f t="shared" ca="1" si="40"/>
        <v>76.488432352941174</v>
      </c>
      <c r="P55" s="124">
        <f t="shared" ca="1" si="41"/>
        <v>73.358608881090873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340000</v>
      </c>
      <c r="M57" s="91">
        <f ca="1">IFERROR(__xludf.DUMMYFUNCTION("IMPORTRANGE(""https://docs.google.com/spreadsheets/d/1Yj_ptqi66GCucihVvJfMjLAmec39IyEx_6qawtMGysU/edit?usp=sharing"",""สบก!Z83"")"),354506)</f>
        <v>354506</v>
      </c>
      <c r="N57" s="91">
        <f ca="1">IFERROR(__xludf.DUMMYFUNCTION("IMPORTRANGE(""https://docs.google.com/spreadsheets/d/1Yj_ptqi66GCucihVvJfMjLAmec39IyEx_6qawtMGysU/edit?usp=sharing"",""สบก!AA83"")"),260060.67)</f>
        <v>260060.67</v>
      </c>
      <c r="O57" s="92">
        <f ca="1">IF(L57&gt;0,N57*100/L57,0)</f>
        <v>76.488432352941174</v>
      </c>
      <c r="P57" s="92">
        <f ca="1">IF(M57&gt;0,N57*100/M57,0)</f>
        <v>73.358608881090873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IFERROR(__xludf.DUMMYFUNCTION("IMPORTRANGE(""https://docs.google.com/spreadsheets/d/1Yj_ptqi66GCucihVvJfMjLAmec39IyEx_6qawtMGysU/edit?usp=sharing"",""สบก!V83"")"),340000)</f>
        <v>340000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IFERROR(__xludf.DUMMYFUNCTION("IMPORTRANGE(""https://docs.google.com/spreadsheets/d/1Yj_ptqi66GCucihVvJfMjLAmec39IyEx_6qawtMGysU/edit?usp=sharing"",""สบก!AI83"")"),0)</f>
        <v>0</v>
      </c>
      <c r="N70" s="174">
        <f ca="1">IFERROR(__xludf.DUMMYFUNCTION("IMPORTRANGE(""https://docs.google.com/spreadsheets/d/1Yj_ptqi66GCucihVvJfMjLAmec39IyEx_6qawtMGysU/edit?usp=sharing"",""สบก!AJ83"")"),0)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IFERROR(__xludf.DUMMYFUNCTION("IMPORTRANGE(""https://docs.google.com/spreadsheets/d/1Yj_ptqi66GCucihVvJfMjLAmec39IyEx_6qawtMGysU/edit?usp=sharing"",""สบก!AE83"")"),0)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IFERROR(__xludf.DUMMYFUNCTION("IMPORTRANGE(""https://docs.google.com/spreadsheets/d/1Yj_ptqi66GCucihVvJfMjLAmec39IyEx_6qawtMGysU/edit?usp=sharing"",""สบก!AF83"")"),0)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IFERROR(__xludf.DUMMYFUNCTION("IMPORTRANGE(""https://docs.google.com/spreadsheets/d/1IYY_tgx_IHuhSq3AJ5eI5OnqOPBNLWSHKh2a30DoXe8/edit?usp=sharing"",""ตรัง!J16"")"),0)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IFERROR(__xludf.DUMMYFUNCTION("IMPORTRANGE(""https://docs.google.com/spreadsheets/d/1IYY_tgx_IHuhSq3AJ5eI5OnqOPBNLWSHKh2a30DoXe8/edit?usp=sharing"",""ตรัง!J17"")"),0)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IFERROR(__xludf.DUMMYFUNCTION("IMPORTRANGE(""https://docs.google.com/spreadsheets/d/1IYY_tgx_IHuhSq3AJ5eI5OnqOPBNLWSHKh2a30DoXe8/edit?usp=sharing"",""ตรัง!J18"")"),0)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IFERROR(__xludf.DUMMYFUNCTION("IMPORTRANGE(""https://docs.google.com/spreadsheets/d/1IYY_tgx_IHuhSq3AJ5eI5OnqOPBNLWSHKh2a30DoXe8/edit?usp=sharing"",""ตรัง!J19"")"),0)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IFERROR(__xludf.DUMMYFUNCTION("IMPORTRANGE(""https://docs.google.com/spreadsheets/d/1IYY_tgx_IHuhSq3AJ5eI5OnqOPBNLWSHKh2a30DoXe8/edit?usp=sharing"",""ตรัง!I20"")"),0)</f>
        <v>0</v>
      </c>
      <c r="J80" s="207">
        <f ca="1">IFERROR(__xludf.DUMMYFUNCTION("IMPORTRANGE(""https://docs.google.com/spreadsheets/d/1IYY_tgx_IHuhSq3AJ5eI5OnqOPBNLWSHKh2a30DoXe8/edit?usp=sharing"",""ตรัง!J20"")"),0)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IFERROR(__xludf.DUMMYFUNCTION("IMPORTRANGE(""https://docs.google.com/spreadsheets/d/1IYY_tgx_IHuhSq3AJ5eI5OnqOPBNLWSHKh2a30DoXe8/edit?usp=sharing"",""ตรัง!I21"")"),0)</f>
        <v>0</v>
      </c>
      <c r="J81" s="207">
        <f ca="1">IFERROR(__xludf.DUMMYFUNCTION("IMPORTRANGE(""https://docs.google.com/spreadsheets/d/1IYY_tgx_IHuhSq3AJ5eI5OnqOPBNLWSHKh2a30DoXe8/edit?usp=sharing"",""ตรัง!J21"")"),0)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IFERROR(__xludf.DUMMYFUNCTION("IMPORTRANGE(""https://docs.google.com/spreadsheets/d/1IYY_tgx_IHuhSq3AJ5eI5OnqOPBNLWSHKh2a30DoXe8/edit?usp=sharing"",""ตรัง!I22"")"),0)</f>
        <v>0</v>
      </c>
      <c r="J82" s="210">
        <f ca="1">IFERROR(__xludf.DUMMYFUNCTION("IMPORTRANGE(""https://docs.google.com/spreadsheets/d/1IYY_tgx_IHuhSq3AJ5eI5OnqOPBNLWSHKh2a30DoXe8/edit?usp=sharing"",""ตรัง!J22"")"),0)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IFERROR(__xludf.DUMMYFUNCTION("IMPORTRANGE(""https://docs.google.com/spreadsheets/d/1IYY_tgx_IHuhSq3AJ5eI5OnqOPBNLWSHKh2a30DoXe8/edit?usp=sharing"",""ตรัง!I23"")"),0)</f>
        <v>0</v>
      </c>
      <c r="J83" s="210">
        <f ca="1">IFERROR(__xludf.DUMMYFUNCTION("IMPORTRANGE(""https://docs.google.com/spreadsheets/d/1IYY_tgx_IHuhSq3AJ5eI5OnqOPBNLWSHKh2a30DoXe8/edit?usp=sharing"",""ตรัง!J23"")"),0)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IFERROR(__xludf.DUMMYFUNCTION("IMPORTRANGE(""https://docs.google.com/spreadsheets/d/1IYY_tgx_IHuhSq3AJ5eI5OnqOPBNLWSHKh2a30DoXe8/edit?usp=sharing"",""ตรัง!I24"")"),0)</f>
        <v>0</v>
      </c>
      <c r="J84" s="195">
        <f ca="1">IFERROR(__xludf.DUMMYFUNCTION("IMPORTRANGE(""https://docs.google.com/spreadsheets/d/1IYY_tgx_IHuhSq3AJ5eI5OnqOPBNLWSHKh2a30DoXe8/edit?usp=sharing"",""ตรัง!J24"")"),0)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IFERROR(__xludf.DUMMYFUNCTION("IMPORTRANGE(""https://docs.google.com/spreadsheets/d/1IYY_tgx_IHuhSq3AJ5eI5OnqOPBNLWSHKh2a30DoXe8/edit?usp=sharing"",""ตรัง!I25"")"),0)</f>
        <v>0</v>
      </c>
      <c r="J85" s="195">
        <f ca="1">IFERROR(__xludf.DUMMYFUNCTION("IMPORTRANGE(""https://docs.google.com/spreadsheets/d/1IYY_tgx_IHuhSq3AJ5eI5OnqOPBNLWSHKh2a30DoXe8/edit?usp=sharing"",""ตรัง!J25"")"),0)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IFERROR(__xludf.DUMMYFUNCTION("IMPORTRANGE(""https://docs.google.com/spreadsheets/d/1IYY_tgx_IHuhSq3AJ5eI5OnqOPBNLWSHKh2a30DoXe8/edit?usp=sharing"",""ตรัง!I26"")"),0)</f>
        <v>0</v>
      </c>
      <c r="J86" s="210">
        <f ca="1">IFERROR(__xludf.DUMMYFUNCTION("IMPORTRANGE(""https://docs.google.com/spreadsheets/d/1IYY_tgx_IHuhSq3AJ5eI5OnqOPBNLWSHKh2a30DoXe8/edit?usp=sharing"",""ตรัง!J26"")"),0)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IFERROR(__xludf.DUMMYFUNCTION("IMPORTRANGE(""https://docs.google.com/spreadsheets/d/1IYY_tgx_IHuhSq3AJ5eI5OnqOPBNLWSHKh2a30DoXe8/edit?usp=sharing"",""ตรัง!I27"")"),0)</f>
        <v>0</v>
      </c>
      <c r="J87" s="210">
        <f ca="1">IFERROR(__xludf.DUMMYFUNCTION("IMPORTRANGE(""https://docs.google.com/spreadsheets/d/1IYY_tgx_IHuhSq3AJ5eI5OnqOPBNLWSHKh2a30DoXe8/edit?usp=sharing"",""ตรัง!J27"")"),0)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IFERROR(__xludf.DUMMYFUNCTION("IMPORTRANGE(""https://docs.google.com/spreadsheets/d/1IYY_tgx_IHuhSq3AJ5eI5OnqOPBNLWSHKh2a30DoXe8/edit?usp=sharing"",""ตรัง!I28"")"),0)</f>
        <v>0</v>
      </c>
      <c r="J88" s="210">
        <f ca="1">IFERROR(__xludf.DUMMYFUNCTION("IMPORTRANGE(""https://docs.google.com/spreadsheets/d/1IYY_tgx_IHuhSq3AJ5eI5OnqOPBNLWSHKh2a30DoXe8/edit?usp=sharing"",""ตรัง!J28"")"),0)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IFERROR(__xludf.DUMMYFUNCTION("IMPORTRANGE(""https://docs.google.com/spreadsheets/d/1IYY_tgx_IHuhSq3AJ5eI5OnqOPBNLWSHKh2a30DoXe8/edit?usp=sharing"",""ตรัง!J29"")"),0)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IFERROR(__xludf.DUMMYFUNCTION("IMPORTRANGE(""https://docs.google.com/spreadsheets/d/1IYY_tgx_IHuhSq3AJ5eI5OnqOPBNLWSHKh2a30DoXe8/edit?usp=sharing"",""ตรัง!J30"")"),0)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159093.16</v>
      </c>
      <c r="O94" s="155">
        <f t="shared" ref="O94:O96" ca="1" si="53">IF(L94&gt;0,N94*100/L94,0)</f>
        <v>74.169305361305362</v>
      </c>
      <c r="P94" s="155">
        <f t="shared" ref="P94:P96" ca="1" si="54">IF(M94&gt;0,N94*100/M94,0)</f>
        <v>74.169305361305362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159093.16</v>
      </c>
      <c r="O96" s="160">
        <f t="shared" ca="1" si="53"/>
        <v>74.169305361305362</v>
      </c>
      <c r="P96" s="160">
        <f t="shared" ca="1" si="54"/>
        <v>74.169305361305362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IFERROR(__xludf.DUMMYFUNCTION("IMPORTRANGE(""https://docs.google.com/spreadsheets/d/1Yj_ptqi66GCucihVvJfMjLAmec39IyEx_6qawtMGysU/edit?usp=sharing"",""สบก!AR83"")"),122100)</f>
        <v>122100</v>
      </c>
      <c r="N98" s="174">
        <f ca="1">IFERROR(__xludf.DUMMYFUNCTION("IMPORTRANGE(""https://docs.google.com/spreadsheets/d/1Yj_ptqi66GCucihVvJfMjLAmec39IyEx_6qawtMGysU/edit?usp=sharing"",""สบก!AS83"")"),66693.16)</f>
        <v>66693.16</v>
      </c>
      <c r="O98" s="175">
        <f ca="1">IF(L98&gt;0,N98*100/L98,0)</f>
        <v>54.621752661752659</v>
      </c>
      <c r="P98" s="175">
        <f ca="1">IF(M98&gt;0,N98*100/M98,0)</f>
        <v>54.621752661752659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IFERROR(__xludf.DUMMYFUNCTION("IMPORTRANGE(""https://docs.google.com/spreadsheets/d/1Yj_ptqi66GCucihVvJfMjLAmec39IyEx_6qawtMGysU/edit?usp=sharing"",""สบก!AN83"")"),0)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IFERROR(__xludf.DUMMYFUNCTION("IMPORTRANGE(""https://docs.google.com/spreadsheets/d/1Yj_ptqi66GCucihVvJfMjLAmec39IyEx_6qawtMGysU/edit?usp=sharing"",""สบก!AO83"")"),122100)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IFERROR(__xludf.DUMMYFUNCTION("IMPORTRANGE(""https://docs.google.com/spreadsheets/d/1IYY_tgx_IHuhSq3AJ5eI5OnqOPBNLWSHKh2a30DoXe8/edit?usp=sharing"",""ตรัง!J39"")"),0)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IFERROR(__xludf.DUMMYFUNCTION("IMPORTRANGE(""https://docs.google.com/spreadsheets/d/1IYY_tgx_IHuhSq3AJ5eI5OnqOPBNLWSHKh2a30DoXe8/edit?usp=sharing"",""ตรัง!J40"")"),1)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IFERROR(__xludf.DUMMYFUNCTION("IMPORTRANGE(""https://docs.google.com/spreadsheets/d/1IYY_tgx_IHuhSq3AJ5eI5OnqOPBNLWSHKh2a30DoXe8/edit?usp=sharing"",""ตรัง!J41"")"),1)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IFERROR(__xludf.DUMMYFUNCTION("IMPORTRANGE(""https://docs.google.com/spreadsheets/d/1IYY_tgx_IHuhSq3AJ5eI5OnqOPBNLWSHKh2a30DoXe8/edit?usp=sharing"",""ตรัง!J42"")"),1)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IFERROR(__xludf.DUMMYFUNCTION("IMPORTRANGE(""https://docs.google.com/spreadsheets/d/1IYY_tgx_IHuhSq3AJ5eI5OnqOPBNLWSHKh2a30DoXe8/edit?usp=sharing"",""ตรัง!I43"")"),1)</f>
        <v>1</v>
      </c>
      <c r="J108" s="210">
        <f ca="1">IFERROR(__xludf.DUMMYFUNCTION("IMPORTRANGE(""https://docs.google.com/spreadsheets/d/1IYY_tgx_IHuhSq3AJ5eI5OnqOPBNLWSHKh2a30DoXe8/edit?usp=sharing"",""ตรัง!J43"")"),1)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IFERROR(__xludf.DUMMYFUNCTION("IMPORTRANGE(""https://docs.google.com/spreadsheets/d/1IYY_tgx_IHuhSq3AJ5eI5OnqOPBNLWSHKh2a30DoXe8/edit?usp=sharing"",""ตรัง!I44"")"),4)</f>
        <v>4</v>
      </c>
      <c r="J109" s="210">
        <f ca="1">IFERROR(__xludf.DUMMYFUNCTION("IMPORTRANGE(""https://docs.google.com/spreadsheets/d/1IYY_tgx_IHuhSq3AJ5eI5OnqOPBNLWSHKh2a30DoXe8/edit?usp=sharing"",""ตรัง!J44"")"),4)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IFERROR(__xludf.DUMMYFUNCTION("IMPORTRANGE(""https://docs.google.com/spreadsheets/d/1IYY_tgx_IHuhSq3AJ5eI5OnqOPBNLWSHKh2a30DoXe8/edit?usp=sharing"",""ตรัง!I45"")"),4)</f>
        <v>4</v>
      </c>
      <c r="J110" s="210">
        <f ca="1">IFERROR(__xludf.DUMMYFUNCTION("IMPORTRANGE(""https://docs.google.com/spreadsheets/d/1IYY_tgx_IHuhSq3AJ5eI5OnqOPBNLWSHKh2a30DoXe8/edit?usp=sharing"",""ตรัง!J45"")"),4)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IFERROR(__xludf.DUMMYFUNCTION("IMPORTRANGE(""https://docs.google.com/spreadsheets/d/1IYY_tgx_IHuhSq3AJ5eI5OnqOPBNLWSHKh2a30DoXe8/edit?usp=sharing"",""ตรัง!I46"")"),4)</f>
        <v>4</v>
      </c>
      <c r="J111" s="210">
        <f ca="1">IFERROR(__xludf.DUMMYFUNCTION("IMPORTRANGE(""https://docs.google.com/spreadsheets/d/1IYY_tgx_IHuhSq3AJ5eI5OnqOPBNLWSHKh2a30DoXe8/edit?usp=sharing"",""ตรัง!J46"")"),4)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IFERROR(__xludf.DUMMYFUNCTION("IMPORTRANGE(""https://docs.google.com/spreadsheets/d/1IYY_tgx_IHuhSq3AJ5eI5OnqOPBNLWSHKh2a30DoXe8/edit?usp=sharing"",""ตรัง!I47"")"),4)</f>
        <v>4</v>
      </c>
      <c r="J112" s="210">
        <f ca="1">IFERROR(__xludf.DUMMYFUNCTION("IMPORTRANGE(""https://docs.google.com/spreadsheets/d/1IYY_tgx_IHuhSq3AJ5eI5OnqOPBNLWSHKh2a30DoXe8/edit?usp=sharing"",""ตรัง!J47"")"),4)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IFERROR(__xludf.DUMMYFUNCTION("IMPORTRANGE(""https://docs.google.com/spreadsheets/d/1IYY_tgx_IHuhSq3AJ5eI5OnqOPBNLWSHKh2a30DoXe8/edit?usp=sharing"",""ตรัง!I48"")"),1)</f>
        <v>1</v>
      </c>
      <c r="J113" s="210">
        <f ca="1">IFERROR(__xludf.DUMMYFUNCTION("IMPORTRANGE(""https://docs.google.com/spreadsheets/d/1IYY_tgx_IHuhSq3AJ5eI5OnqOPBNLWSHKh2a30DoXe8/edit?usp=sharing"",""ตรัง!J48"")"),1)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IFERROR(__xludf.DUMMYFUNCTION("IMPORTRANGE(""https://docs.google.com/spreadsheets/d/1IYY_tgx_IHuhSq3AJ5eI5OnqOPBNLWSHKh2a30DoXe8/edit?usp=sharing"",""ตรัง!J49"")"),0)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IFERROR(__xludf.DUMMYFUNCTION("IMPORTRANGE(""https://docs.google.com/spreadsheets/d/1IYY_tgx_IHuhSq3AJ5eI5OnqOPBNLWSHKh2a30DoXe8/edit?usp=sharing"",""ตรัง!J50"")"),0)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IFERROR(__xludf.DUMMYFUNCTION("IMPORTRANGE(""https://docs.google.com/spreadsheets/d/1Yj_ptqi66GCucihVvJfMjLAmec39IyEx_6qawtMGysU/edit?usp=sharing"",""สบก!BA83"")"),0)</f>
        <v>0</v>
      </c>
      <c r="N122" s="174">
        <f ca="1">IFERROR(__xludf.DUMMYFUNCTION("IMPORTRANGE(""https://docs.google.com/spreadsheets/d/1Yj_ptqi66GCucihVvJfMjLAmec39IyEx_6qawtMGysU/edit?usp=sharing"",""สบก!BB83"")"),0)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IFERROR(__xludf.DUMMYFUNCTION("IMPORTRANGE(""https://docs.google.com/spreadsheets/d/1Yj_ptqi66GCucihVvJfMjLAmec39IyEx_6qawtMGysU/edit?usp=sharing"",""สบก!AW83"")"),0)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IFERROR(__xludf.DUMMYFUNCTION("IMPORTRANGE(""https://docs.google.com/spreadsheets/d/1Yj_ptqi66GCucihVvJfMjLAmec39IyEx_6qawtMGysU/edit?usp=sharing"",""สบก!AX83"")"),0)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IFERROR(__xludf.DUMMYFUNCTION("IMPORTRANGE(""https://docs.google.com/spreadsheets/d/1IYY_tgx_IHuhSq3AJ5eI5OnqOPBNLWSHKh2a30DoXe8/edit?usp=sharing"",""ตรัง!J58"")"),0)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IFERROR(__xludf.DUMMYFUNCTION("IMPORTRANGE(""https://docs.google.com/spreadsheets/d/1IYY_tgx_IHuhSq3AJ5eI5OnqOPBNLWSHKh2a30DoXe8/edit?usp=sharing"",""ตรัง!J59"")"),0)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IFERROR(__xludf.DUMMYFUNCTION("IMPORTRANGE(""https://docs.google.com/spreadsheets/d/1IYY_tgx_IHuhSq3AJ5eI5OnqOPBNLWSHKh2a30DoXe8/edit?usp=sharing"",""ตรัง!J60"")"),0)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IFERROR(__xludf.DUMMYFUNCTION("IMPORTRANGE(""https://docs.google.com/spreadsheets/d/1IYY_tgx_IHuhSq3AJ5eI5OnqOPBNLWSHKh2a30DoXe8/edit?usp=sharing"",""ตรัง!J61"")"),0)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IFERROR(__xludf.DUMMYFUNCTION("IMPORTRANGE(""https://docs.google.com/spreadsheets/d/1IYY_tgx_IHuhSq3AJ5eI5OnqOPBNLWSHKh2a30DoXe8/edit?usp=sharing"",""ตรัง!I62"")"),0)</f>
        <v>0</v>
      </c>
      <c r="J132" s="210">
        <f ca="1">IFERROR(__xludf.DUMMYFUNCTION("IMPORTRANGE(""https://docs.google.com/spreadsheets/d/1IYY_tgx_IHuhSq3AJ5eI5OnqOPBNLWSHKh2a30DoXe8/edit?usp=sharing"",""ตรัง!J62"")"),0)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IFERROR(__xludf.DUMMYFUNCTION("IMPORTRANGE(""https://docs.google.com/spreadsheets/d/1IYY_tgx_IHuhSq3AJ5eI5OnqOPBNLWSHKh2a30DoXe8/edit?usp=sharing"",""ตรัง!I63"")"),0)</f>
        <v>0</v>
      </c>
      <c r="J133" s="210">
        <f ca="1">IFERROR(__xludf.DUMMYFUNCTION("IMPORTRANGE(""https://docs.google.com/spreadsheets/d/1IYY_tgx_IHuhSq3AJ5eI5OnqOPBNLWSHKh2a30DoXe8/edit?usp=sharing"",""ตรัง!J63"")"),0)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IFERROR(__xludf.DUMMYFUNCTION("IMPORTRANGE(""https://docs.google.com/spreadsheets/d/1IYY_tgx_IHuhSq3AJ5eI5OnqOPBNLWSHKh2a30DoXe8/edit?usp=sharing"",""ตรัง!J64"")"),0)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IFERROR(__xludf.DUMMYFUNCTION("IMPORTRANGE(""https://docs.google.com/spreadsheets/d/1IYY_tgx_IHuhSq3AJ5eI5OnqOPBNLWSHKh2a30DoXe8/edit?usp=sharing"",""ตรัง!J65"")"),0)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IFERROR(__xludf.DUMMYFUNCTION("IMPORTRANGE(""https://docs.google.com/spreadsheets/d/1IYY_tgx_IHuhSq3AJ5eI5OnqOPBNLWSHKh2a30DoXe8/edit?usp=sharing"",""ตรัง!I68"")"),15)</f>
        <v>15</v>
      </c>
      <c r="J138" s="273">
        <f ca="1">IFERROR(__xludf.DUMMYFUNCTION("IMPORTRANGE(""https://docs.google.com/spreadsheets/d/1IYY_tgx_IHuhSq3AJ5eI5OnqOPBNLWSHKh2a30DoXe8/edit?usp=sharing"",""ตรัง!J68"")"),15)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389400</v>
      </c>
      <c r="M140" s="156">
        <f t="shared" ca="1" si="64"/>
        <v>397400</v>
      </c>
      <c r="N140" s="156">
        <f t="shared" ca="1" si="64"/>
        <v>284652.40999999997</v>
      </c>
      <c r="O140" s="155">
        <f t="shared" ref="O140:O142" ca="1" si="65">IF(L140&gt;0,N140*100/L140,0)</f>
        <v>73.100259373394962</v>
      </c>
      <c r="P140" s="155">
        <f t="shared" ref="P140:P142" ca="1" si="66">IF(M140&gt;0,N140*100/M140,0)</f>
        <v>71.628688978359321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389400</v>
      </c>
      <c r="M142" s="161">
        <f t="shared" ca="1" si="68"/>
        <v>397400</v>
      </c>
      <c r="N142" s="161">
        <f t="shared" ca="1" si="68"/>
        <v>284652.40999999997</v>
      </c>
      <c r="O142" s="160">
        <f t="shared" ca="1" si="65"/>
        <v>73.100259373394962</v>
      </c>
      <c r="P142" s="160">
        <f t="shared" ca="1" si="66"/>
        <v>71.628688978359321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389400</v>
      </c>
      <c r="M144" s="173">
        <f ca="1">IFERROR(__xludf.DUMMYFUNCTION("IMPORTRANGE(""https://docs.google.com/spreadsheets/d/1Yj_ptqi66GCucihVvJfMjLAmec39IyEx_6qawtMGysU/edit?usp=sharing"",""สบก!BJ83"")"),397400)</f>
        <v>397400</v>
      </c>
      <c r="N144" s="174">
        <f ca="1">IFERROR(__xludf.DUMMYFUNCTION("IMPORTRANGE(""https://docs.google.com/spreadsheets/d/1Yj_ptqi66GCucihVvJfMjLAmec39IyEx_6qawtMGysU/edit?usp=sharing"",""สบก!BK83"")"),284652.41)</f>
        <v>284652.40999999997</v>
      </c>
      <c r="O144" s="175">
        <f ca="1">IF(L144&gt;0,N144*100/L144,0)</f>
        <v>73.100259373394962</v>
      </c>
      <c r="P144" s="175">
        <f ca="1">IF(M144&gt;0,N144*100/M144,0)</f>
        <v>71.628688978359321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IFERROR(__xludf.DUMMYFUNCTION("IMPORTRANGE(""https://docs.google.com/spreadsheets/d/1Yj_ptqi66GCucihVvJfMjLAmec39IyEx_6qawtMGysU/edit?usp=sharing"",""สบก!BF83"")"),331400)</f>
        <v>331400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IFERROR(__xludf.DUMMYFUNCTION("IMPORTRANGE(""https://docs.google.com/spreadsheets/d/1Yj_ptqi66GCucihVvJfMjLAmec39IyEx_6qawtMGysU/edit?usp=sharing"",""สบก!BG83"")"),58000)</f>
        <v>58000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IFERROR(__xludf.DUMMYFUNCTION("IMPORTRANGE(""https://docs.google.com/spreadsheets/d/1IYY_tgx_IHuhSq3AJ5eI5OnqOPBNLWSHKh2a30DoXe8/edit?usp=sharing"",""ตรัง!I74"")"),4)</f>
        <v>4</v>
      </c>
      <c r="J149" s="281">
        <f ca="1">IFERROR(__xludf.DUMMYFUNCTION("IMPORTRANGE(""https://docs.google.com/spreadsheets/d/1IYY_tgx_IHuhSq3AJ5eI5OnqOPBNLWSHKh2a30DoXe8/edit?usp=sharing"",""ตรัง!J74"")"),2)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IFERROR(__xludf.DUMMYFUNCTION("IMPORTRANGE(""https://docs.google.com/spreadsheets/d/1IYY_tgx_IHuhSq3AJ5eI5OnqOPBNLWSHKh2a30DoXe8/edit?usp=sharing"",""ตรัง!J79"")"),0)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IFERROR(__xludf.DUMMYFUNCTION("IMPORTRANGE(""https://docs.google.com/spreadsheets/d/1IYY_tgx_IHuhSq3AJ5eI5OnqOPBNLWSHKh2a30DoXe8/edit?usp=sharing"",""ตรัง!J80"")"),1)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IFERROR(__xludf.DUMMYFUNCTION("IMPORTRANGE(""https://docs.google.com/spreadsheets/d/1IYY_tgx_IHuhSq3AJ5eI5OnqOPBNLWSHKh2a30DoXe8/edit?usp=sharing"",""ตรัง!J81"")"),1)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IFERROR(__xludf.DUMMYFUNCTION("IMPORTRANGE(""https://docs.google.com/spreadsheets/d/1IYY_tgx_IHuhSq3AJ5eI5OnqOPBNLWSHKh2a30DoXe8/edit?usp=sharing"",""ตรัง!J82"")"),1)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IFERROR(__xludf.DUMMYFUNCTION("IMPORTRANGE(""https://docs.google.com/spreadsheets/d/1IYY_tgx_IHuhSq3AJ5eI5OnqOPBNLWSHKh2a30DoXe8/edit?usp=sharing"",""ตรัง!I83"")"),4)</f>
        <v>4</v>
      </c>
      <c r="J158" s="195">
        <f ca="1">IFERROR(__xludf.DUMMYFUNCTION("IMPORTRANGE(""https://docs.google.com/spreadsheets/d/1IYY_tgx_IHuhSq3AJ5eI5OnqOPBNLWSHKh2a30DoXe8/edit?usp=sharing"",""ตรัง!J83"")"),2)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IFERROR(__xludf.DUMMYFUNCTION("IMPORTRANGE(""https://docs.google.com/spreadsheets/d/1IYY_tgx_IHuhSq3AJ5eI5OnqOPBNLWSHKh2a30DoXe8/edit?usp=sharing"",""ตรัง!J84"")"),52)</f>
        <v>52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IFERROR(__xludf.DUMMYFUNCTION("IMPORTRANGE(""https://docs.google.com/spreadsheets/d/1IYY_tgx_IHuhSq3AJ5eI5OnqOPBNLWSHKh2a30DoXe8/edit?usp=sharing"",""ตรัง!J85"")"),52)</f>
        <v>52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IFERROR(__xludf.DUMMYFUNCTION("IMPORTRANGE(""https://docs.google.com/spreadsheets/d/1IYY_tgx_IHuhSq3AJ5eI5OnqOPBNLWSHKh2a30DoXe8/edit?usp=sharing"",""ตรัง!J86"")"),0)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IFERROR(__xludf.DUMMYFUNCTION("IMPORTRANGE(""https://docs.google.com/spreadsheets/d/1IYY_tgx_IHuhSq3AJ5eI5OnqOPBNLWSHKh2a30DoXe8/edit?usp=sharing"",""ตรัง!J87"")"),0)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IFERROR(__xludf.DUMMYFUNCTION("IMPORTRANGE(""https://docs.google.com/spreadsheets/d/1IYY_tgx_IHuhSq3AJ5eI5OnqOPBNLWSHKh2a30DoXe8/edit?usp=sharing"",""ตรัง!J88"")"),0)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IFERROR(__xludf.DUMMYFUNCTION("IMPORTRANGE(""https://docs.google.com/spreadsheets/d/1IYY_tgx_IHuhSq3AJ5eI5OnqOPBNLWSHKh2a30DoXe8/edit?usp=sharing"",""ตรัง!J94"")"),0)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IFERROR(__xludf.DUMMYFUNCTION("IMPORTRANGE(""https://docs.google.com/spreadsheets/d/1IYY_tgx_IHuhSq3AJ5eI5OnqOPBNLWSHKh2a30DoXe8/edit?usp=sharing"",""ตรัง!J95"")"),1)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IFERROR(__xludf.DUMMYFUNCTION("IMPORTRANGE(""https://docs.google.com/spreadsheets/d/1IYY_tgx_IHuhSq3AJ5eI5OnqOPBNLWSHKh2a30DoXe8/edit?usp=sharing"",""ตรัง!J96"")"),1)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IFERROR(__xludf.DUMMYFUNCTION("IMPORTRANGE(""https://docs.google.com/spreadsheets/d/1IYY_tgx_IHuhSq3AJ5eI5OnqOPBNLWSHKh2a30DoXe8/edit?usp=sharing"",""ตรัง!J97"")"),1)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IFERROR(__xludf.DUMMYFUNCTION("IMPORTRANGE(""https://docs.google.com/spreadsheets/d/1IYY_tgx_IHuhSq3AJ5eI5OnqOPBNLWSHKh2a30DoXe8/edit?usp=sharing"",""ตรัง!I98"")"),2)</f>
        <v>2</v>
      </c>
      <c r="J173" s="195">
        <f ca="1">IFERROR(__xludf.DUMMYFUNCTION("IMPORTRANGE(""https://docs.google.com/spreadsheets/d/1IYY_tgx_IHuhSq3AJ5eI5OnqOPBNLWSHKh2a30DoXe8/edit?usp=sharing"",""ตรัง!J98"")"),2)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IFERROR(__xludf.DUMMYFUNCTION("IMPORTRANGE(""https://docs.google.com/spreadsheets/d/1IYY_tgx_IHuhSq3AJ5eI5OnqOPBNLWSHKh2a30DoXe8/edit?usp=sharing"",""ตรัง!J99"")"),0)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IFERROR(__xludf.DUMMYFUNCTION("IMPORTRANGE(""https://docs.google.com/spreadsheets/d/1IYY_tgx_IHuhSq3AJ5eI5OnqOPBNLWSHKh2a30DoXe8/edit?usp=sharing"",""ตรัง!J100"")"),0)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IFERROR(__xludf.DUMMYFUNCTION("IMPORTRANGE(""https://docs.google.com/spreadsheets/d/1IYY_tgx_IHuhSq3AJ5eI5OnqOPBNLWSHKh2a30DoXe8/edit?usp=sharing"",""ตรัง!J106"")"),0)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IFERROR(__xludf.DUMMYFUNCTION("IMPORTRANGE(""https://docs.google.com/spreadsheets/d/1IYY_tgx_IHuhSq3AJ5eI5OnqOPBNLWSHKh2a30DoXe8/edit?usp=sharing"",""ตรัง!J107"")"),0)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IFERROR(__xludf.DUMMYFUNCTION("IMPORTRANGE(""https://docs.google.com/spreadsheets/d/1IYY_tgx_IHuhSq3AJ5eI5OnqOPBNLWSHKh2a30DoXe8/edit?usp=sharing"",""ตรัง!J108"")"),0)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IFERROR(__xludf.DUMMYFUNCTION("IMPORTRANGE(""https://docs.google.com/spreadsheets/d/1IYY_tgx_IHuhSq3AJ5eI5OnqOPBNLWSHKh2a30DoXe8/edit?usp=sharing"",""ตรัง!J109"")"),0)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IFERROR(__xludf.DUMMYFUNCTION("IMPORTRANGE(""https://docs.google.com/spreadsheets/d/1IYY_tgx_IHuhSq3AJ5eI5OnqOPBNLWSHKh2a30DoXe8/edit?usp=sharing"",""ตรัง!I110"")"),0)</f>
        <v>0</v>
      </c>
      <c r="J185" s="210">
        <f ca="1">IFERROR(__xludf.DUMMYFUNCTION("IMPORTRANGE(""https://docs.google.com/spreadsheets/d/1IYY_tgx_IHuhSq3AJ5eI5OnqOPBNLWSHKh2a30DoXe8/edit?usp=sharing"",""ตรัง!J110"")"),0)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IFERROR(__xludf.DUMMYFUNCTION("IMPORTRANGE(""https://docs.google.com/spreadsheets/d/1IYY_tgx_IHuhSq3AJ5eI5OnqOPBNLWSHKh2a30DoXe8/edit?usp=sharing"",""ตรัง!I111"")"),0)</f>
        <v>0</v>
      </c>
      <c r="J186" s="210">
        <f ca="1">IFERROR(__xludf.DUMMYFUNCTION("IMPORTRANGE(""https://docs.google.com/spreadsheets/d/1IYY_tgx_IHuhSq3AJ5eI5OnqOPBNLWSHKh2a30DoXe8/edit?usp=sharing"",""ตรัง!J111"")"),0)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IFERROR(__xludf.DUMMYFUNCTION("IMPORTRANGE(""https://docs.google.com/spreadsheets/d/1IYY_tgx_IHuhSq3AJ5eI5OnqOPBNLWSHKh2a30DoXe8/edit?usp=sharing"",""ตรัง!J112"")"),0)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IFERROR(__xludf.DUMMYFUNCTION("IMPORTRANGE(""https://docs.google.com/spreadsheets/d/1IYY_tgx_IHuhSq3AJ5eI5OnqOPBNLWSHKh2a30DoXe8/edit?usp=sharing"",""ตรัง!J113"")"),0)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IFERROR(__xludf.DUMMYFUNCTION("IMPORTRANGE(""https://docs.google.com/spreadsheets/d/1IYY_tgx_IHuhSq3AJ5eI5OnqOPBNLWSHKh2a30DoXe8/edit?usp=sharing"",""ตรัง!J119"")"),0)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IFERROR(__xludf.DUMMYFUNCTION("IMPORTRANGE(""https://docs.google.com/spreadsheets/d/1IYY_tgx_IHuhSq3AJ5eI5OnqOPBNLWSHKh2a30DoXe8/edit?usp=sharing"",""ตรัง!J120"")"),1)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IFERROR(__xludf.DUMMYFUNCTION("IMPORTRANGE(""https://docs.google.com/spreadsheets/d/1IYY_tgx_IHuhSq3AJ5eI5OnqOPBNLWSHKh2a30DoXe8/edit?usp=sharing"",""ตรัง!J121"")"),1)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IFERROR(__xludf.DUMMYFUNCTION("IMPORTRANGE(""https://docs.google.com/spreadsheets/d/1IYY_tgx_IHuhSq3AJ5eI5OnqOPBNLWSHKh2a30DoXe8/edit?usp=sharing"",""ตรัง!J122"")"),1)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IFERROR(__xludf.DUMMYFUNCTION("IMPORTRANGE(""https://docs.google.com/spreadsheets/d/1IYY_tgx_IHuhSq3AJ5eI5OnqOPBNLWSHKh2a30DoXe8/edit?usp=sharing"",""ตรัง!I124"")"),10000)</f>
        <v>10000</v>
      </c>
      <c r="J199" s="195">
        <f ca="1">IFERROR(__xludf.DUMMYFUNCTION("IMPORTRANGE(""https://docs.google.com/spreadsheets/d/1IYY_tgx_IHuhSq3AJ5eI5OnqOPBNLWSHKh2a30DoXe8/edit?usp=sharing"",""ตรัง!J124"")"),10000)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IFERROR(__xludf.DUMMYFUNCTION("IMPORTRANGE(""https://docs.google.com/spreadsheets/d/1IYY_tgx_IHuhSq3AJ5eI5OnqOPBNLWSHKh2a30DoXe8/edit?usp=sharing"",""ตรัง!I125"")"),10000)</f>
        <v>10000</v>
      </c>
      <c r="J200" s="195">
        <f ca="1">IFERROR(__xludf.DUMMYFUNCTION("IMPORTRANGE(""https://docs.google.com/spreadsheets/d/1IYY_tgx_IHuhSq3AJ5eI5OnqOPBNLWSHKh2a30DoXe8/edit?usp=sharing"",""ตรัง!J125"")"),0)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IFERROR(__xludf.DUMMYFUNCTION("IMPORTRANGE(""https://docs.google.com/spreadsheets/d/1IYY_tgx_IHuhSq3AJ5eI5OnqOPBNLWSHKh2a30DoXe8/edit?usp=sharing"",""ตรัง!I126"")"),15)</f>
        <v>15</v>
      </c>
      <c r="J201" s="195">
        <f ca="1">IFERROR(__xludf.DUMMYFUNCTION("IMPORTRANGE(""https://docs.google.com/spreadsheets/d/1IYY_tgx_IHuhSq3AJ5eI5OnqOPBNLWSHKh2a30DoXe8/edit?usp=sharing"",""ตรัง!J126"")"),15)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IFERROR(__xludf.DUMMYFUNCTION("IMPORTRANGE(""https://docs.google.com/spreadsheets/d/1IYY_tgx_IHuhSq3AJ5eI5OnqOPBNLWSHKh2a30DoXe8/edit?usp=sharing"",""ตรัง!J127"")"),0)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IFERROR(__xludf.DUMMYFUNCTION("IMPORTRANGE(""https://docs.google.com/spreadsheets/d/1IYY_tgx_IHuhSq3AJ5eI5OnqOPBNLWSHKh2a30DoXe8/edit?usp=sharing"",""ตรัง!J128"")"),0)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IFERROR(__xludf.DUMMYFUNCTION("IMPORTRANGE(""https://docs.google.com/spreadsheets/d/1IYY_tgx_IHuhSq3AJ5eI5OnqOPBNLWSHKh2a30DoXe8/edit?usp=sharing"",""ตรัง!J134"")"),0)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IFERROR(__xludf.DUMMYFUNCTION("IMPORTRANGE(""https://docs.google.com/spreadsheets/d/1IYY_tgx_IHuhSq3AJ5eI5OnqOPBNLWSHKh2a30DoXe8/edit?usp=sharing"",""ตรัง!J135"")"),0)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IFERROR(__xludf.DUMMYFUNCTION("IMPORTRANGE(""https://docs.google.com/spreadsheets/d/1IYY_tgx_IHuhSq3AJ5eI5OnqOPBNLWSHKh2a30DoXe8/edit?usp=sharing"",""ตรัง!J136"")"),0)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IFERROR(__xludf.DUMMYFUNCTION("IMPORTRANGE(""https://docs.google.com/spreadsheets/d/1IYY_tgx_IHuhSq3AJ5eI5OnqOPBNLWSHKh2a30DoXe8/edit?usp=sharing"",""ตรัง!J137"")"),0)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IFERROR(__xludf.DUMMYFUNCTION("IMPORTRANGE(""https://docs.google.com/spreadsheets/d/1IYY_tgx_IHuhSq3AJ5eI5OnqOPBNLWSHKh2a30DoXe8/edit?usp=sharing"",""ตรัง!I138"")"),0)</f>
        <v>0</v>
      </c>
      <c r="J213" s="210">
        <f ca="1">IFERROR(__xludf.DUMMYFUNCTION("IMPORTRANGE(""https://docs.google.com/spreadsheets/d/1IYY_tgx_IHuhSq3AJ5eI5OnqOPBNLWSHKh2a30DoXe8/edit?usp=sharing"",""ตรัง!J138"")"),0)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IFERROR(__xludf.DUMMYFUNCTION("IMPORTRANGE(""https://docs.google.com/spreadsheets/d/1IYY_tgx_IHuhSq3AJ5eI5OnqOPBNLWSHKh2a30DoXe8/edit?usp=sharing"",""ตรัง!I140"")"),0)</f>
        <v>0</v>
      </c>
      <c r="J215" s="210">
        <f ca="1">IFERROR(__xludf.DUMMYFUNCTION("IMPORTRANGE(""https://docs.google.com/spreadsheets/d/1IYY_tgx_IHuhSq3AJ5eI5OnqOPBNLWSHKh2a30DoXe8/edit?usp=sharing"",""ตรัง!J140"")"),0)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IFERROR(__xludf.DUMMYFUNCTION("IMPORTRANGE(""https://docs.google.com/spreadsheets/d/1IYY_tgx_IHuhSq3AJ5eI5OnqOPBNLWSHKh2a30DoXe8/edit?usp=sharing"",""ตรัง!I141"")"),0)</f>
        <v>0</v>
      </c>
      <c r="J216" s="210">
        <f ca="1">IFERROR(__xludf.DUMMYFUNCTION("IMPORTRANGE(""https://docs.google.com/spreadsheets/d/1IYY_tgx_IHuhSq3AJ5eI5OnqOPBNLWSHKh2a30DoXe8/edit?usp=sharing"",""ตรัง!J141"")"),0)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IFERROR(__xludf.DUMMYFUNCTION("IMPORTRANGE(""https://docs.google.com/spreadsheets/d/1IYY_tgx_IHuhSq3AJ5eI5OnqOPBNLWSHKh2a30DoXe8/edit?usp=sharing"",""ตรัง!J142"")"),0)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IFERROR(__xludf.DUMMYFUNCTION("IMPORTRANGE(""https://docs.google.com/spreadsheets/d/1IYY_tgx_IHuhSq3AJ5eI5OnqOPBNLWSHKh2a30DoXe8/edit?usp=sharing"",""ตรัง!J143"")"),0)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IFERROR(__xludf.DUMMYFUNCTION("IMPORTRANGE(""https://docs.google.com/spreadsheets/d/1IYY_tgx_IHuhSq3AJ5eI5OnqOPBNLWSHKh2a30DoXe8/edit?usp=sharing"",""ตรัง!I144"")"),15)</f>
        <v>15</v>
      </c>
      <c r="J219" s="273">
        <f ca="1">IFERROR(__xludf.DUMMYFUNCTION("IMPORTRANGE(""https://docs.google.com/spreadsheets/d/1IYY_tgx_IHuhSq3AJ5eI5OnqOPBNLWSHKh2a30DoXe8/edit?usp=sharing"",""ตรัง!J144"")"),15)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IFERROR(__xludf.DUMMYFUNCTION("IMPORTRANGE(""https://docs.google.com/spreadsheets/d/1Yj_ptqi66GCucihVvJfMjLAmec39IyEx_6qawtMGysU/edit?usp=sharing"",""สบก!BS83"")"),21125)</f>
        <v>21125</v>
      </c>
      <c r="N224" s="174">
        <f ca="1">IFERROR(__xludf.DUMMYFUNCTION("IMPORTRANGE(""https://docs.google.com/spreadsheets/d/1Yj_ptqi66GCucihVvJfMjLAmec39IyEx_6qawtMGysU/edit?usp=sharing"",""สบก!BT83"")"),21125)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IFERROR(__xludf.DUMMYFUNCTION("IMPORTRANGE(""https://docs.google.com/spreadsheets/d/1Yj_ptqi66GCucihVvJfMjLAmec39IyEx_6qawtMGysU/edit?usp=sharing"",""สบก!BO83"")"),0)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IFERROR(__xludf.DUMMYFUNCTION("IMPORTRANGE(""https://docs.google.com/spreadsheets/d/1Yj_ptqi66GCucihVvJfMjLAmec39IyEx_6qawtMGysU/edit?usp=sharing"",""สบก!BP83"")"),21125)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IFERROR(__xludf.DUMMYFUNCTION("IMPORTRANGE(""https://docs.google.com/spreadsheets/d/1IYY_tgx_IHuhSq3AJ5eI5OnqOPBNLWSHKh2a30DoXe8/edit?usp=sharing"",""ตรัง!I149"")"),15)</f>
        <v>15</v>
      </c>
      <c r="J229" s="273">
        <f ca="1">IFERROR(__xludf.DUMMYFUNCTION("IMPORTRANGE(""https://docs.google.com/spreadsheets/d/1IYY_tgx_IHuhSq3AJ5eI5OnqOPBNLWSHKh2a30DoXe8/edit?usp=sharing"",""ตรัง!J149"")"),15)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IFERROR(__xludf.DUMMYFUNCTION("IMPORTRANGE(""https://docs.google.com/spreadsheets/d/1IYY_tgx_IHuhSq3AJ5eI5OnqOPBNLWSHKh2a30DoXe8/edit?usp=sharing"",""ตรัง!J151"")"),0)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IFERROR(__xludf.DUMMYFUNCTION("IMPORTRANGE(""https://docs.google.com/spreadsheets/d/1IYY_tgx_IHuhSq3AJ5eI5OnqOPBNLWSHKh2a30DoXe8/edit?usp=sharing"",""ตรัง!J152"")"),1)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IFERROR(__xludf.DUMMYFUNCTION("IMPORTRANGE(""https://docs.google.com/spreadsheets/d/1IYY_tgx_IHuhSq3AJ5eI5OnqOPBNLWSHKh2a30DoXe8/edit?usp=sharing"",""ตรัง!J153"")"),1)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IFERROR(__xludf.DUMMYFUNCTION("IMPORTRANGE(""https://docs.google.com/spreadsheets/d/1IYY_tgx_IHuhSq3AJ5eI5OnqOPBNLWSHKh2a30DoXe8/edit?usp=sharing"",""ตรัง!J154"")"),1)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IFERROR(__xludf.DUMMYFUNCTION("IMPORTRANGE(""https://docs.google.com/spreadsheets/d/1IYY_tgx_IHuhSq3AJ5eI5OnqOPBNLWSHKh2a30DoXe8/edit?usp=sharing"",""ตรัง!I155"")"),15)</f>
        <v>15</v>
      </c>
      <c r="J235" s="195">
        <f ca="1">IFERROR(__xludf.DUMMYFUNCTION("IMPORTRANGE(""https://docs.google.com/spreadsheets/d/1IYY_tgx_IHuhSq3AJ5eI5OnqOPBNLWSHKh2a30DoXe8/edit?usp=sharing"",""ตรัง!J155"")"),15)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IFERROR(__xludf.DUMMYFUNCTION("IMPORTRANGE(""https://docs.google.com/spreadsheets/d/1IYY_tgx_IHuhSq3AJ5eI5OnqOPBNLWSHKh2a30DoXe8/edit?usp=sharing"",""ตรัง!J156"")"),0)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IFERROR(__xludf.DUMMYFUNCTION("IMPORTRANGE(""https://docs.google.com/spreadsheets/d/1IYY_tgx_IHuhSq3AJ5eI5OnqOPBNLWSHKh2a30DoXe8/edit?usp=sharing"",""ตรัง!J157"")"),0)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IFERROR(__xludf.DUMMYFUNCTION("IMPORTRANGE(""https://docs.google.com/spreadsheets/d/1IYY_tgx_IHuhSq3AJ5eI5OnqOPBNLWSHKh2a30DoXe8/edit?usp=sharing"",""ตรัง!I158"")"),0)</f>
        <v>0</v>
      </c>
      <c r="J238" s="273">
        <f ca="1">IFERROR(__xludf.DUMMYFUNCTION("IMPORTRANGE(""https://docs.google.com/spreadsheets/d/1IYY_tgx_IHuhSq3AJ5eI5OnqOPBNLWSHKh2a30DoXe8/edit?usp=sharing"",""ตรัง!J158"")"),0)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IFERROR(__xludf.DUMMYFUNCTION("IMPORTRANGE(""https://docs.google.com/spreadsheets/d/1IYY_tgx_IHuhSq3AJ5eI5OnqOPBNLWSHKh2a30DoXe8/edit?usp=sharing"",""ตรัง!J159"")"),"")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IFERROR(__xludf.DUMMYFUNCTION("IMPORTRANGE(""https://docs.google.com/spreadsheets/d/1IYY_tgx_IHuhSq3AJ5eI5OnqOPBNLWSHKh2a30DoXe8/edit?usp=sharing"",""ตรัง!J161"")"),0)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IFERROR(__xludf.DUMMYFUNCTION("IMPORTRANGE(""https://docs.google.com/spreadsheets/d/1IYY_tgx_IHuhSq3AJ5eI5OnqOPBNLWSHKh2a30DoXe8/edit?usp=sharing"",""ตรัง!J162"")"),0)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IFERROR(__xludf.DUMMYFUNCTION("IMPORTRANGE(""https://docs.google.com/spreadsheets/d/1IYY_tgx_IHuhSq3AJ5eI5OnqOPBNLWSHKh2a30DoXe8/edit?usp=sharing"",""ตรัง!J163"")"),0)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IFERROR(__xludf.DUMMYFUNCTION("IMPORTRANGE(""https://docs.google.com/spreadsheets/d/1IYY_tgx_IHuhSq3AJ5eI5OnqOPBNLWSHKh2a30DoXe8/edit?usp=sharing"",""ตรัง!I164"")"),0)</f>
        <v>0</v>
      </c>
      <c r="J244" s="194">
        <f ca="1">IFERROR(__xludf.DUMMYFUNCTION("IMPORTRANGE(""https://docs.google.com/spreadsheets/d/1IYY_tgx_IHuhSq3AJ5eI5OnqOPBNLWSHKh2a30DoXe8/edit?usp=sharing"",""ตรัง!J164"")"),0)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IFERROR(__xludf.DUMMYFUNCTION("IMPORTRANGE(""https://docs.google.com/spreadsheets/d/1IYY_tgx_IHuhSq3AJ5eI5OnqOPBNLWSHKh2a30DoXe8/edit?usp=sharing"",""ตรัง!J165"")"),0)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71400</v>
      </c>
      <c r="N250" s="156">
        <f t="shared" ca="1" si="77"/>
        <v>39756</v>
      </c>
      <c r="O250" s="155">
        <f t="shared" ref="O250:O252" ca="1" si="78">IF(L250&gt;0,N250*100/L250,0)</f>
        <v>55.680672268907564</v>
      </c>
      <c r="P250" s="155">
        <f t="shared" ref="P250:P252" ca="1" si="79">IF(M250&gt;0,N250*100/M250,0)</f>
        <v>55.680672268907564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71400</v>
      </c>
      <c r="N252" s="161">
        <f t="shared" ca="1" si="81"/>
        <v>39756</v>
      </c>
      <c r="O252" s="160">
        <f t="shared" ca="1" si="78"/>
        <v>55.680672268907564</v>
      </c>
      <c r="P252" s="160">
        <f t="shared" ca="1" si="79"/>
        <v>55.680672268907564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IFERROR(__xludf.DUMMYFUNCTION("IMPORTRANGE(""https://docs.google.com/spreadsheets/d/1Yj_ptqi66GCucihVvJfMjLAmec39IyEx_6qawtMGysU/edit?usp=sharing"",""สบก!CB83"")"),71400)</f>
        <v>71400</v>
      </c>
      <c r="N254" s="174">
        <f ca="1">IFERROR(__xludf.DUMMYFUNCTION("IMPORTRANGE(""https://docs.google.com/spreadsheets/d/1Yj_ptqi66GCucihVvJfMjLAmec39IyEx_6qawtMGysU/edit?usp=sharing"",""สบก!CC83"")"),39756)</f>
        <v>39756</v>
      </c>
      <c r="O254" s="175">
        <f ca="1">IF(L254&gt;0,N254*100/L254,0)</f>
        <v>55.680672268907564</v>
      </c>
      <c r="P254" s="175">
        <f ca="1">IF(M254&gt;0,N254*100/M254,0)</f>
        <v>55.680672268907564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IFERROR(__xludf.DUMMYFUNCTION("IMPORTRANGE(""https://docs.google.com/spreadsheets/d/1Yj_ptqi66GCucihVvJfMjLAmec39IyEx_6qawtMGysU/edit?usp=sharing"",""สบก!BX83"")"),0)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IFERROR(__xludf.DUMMYFUNCTION("IMPORTRANGE(""https://docs.google.com/spreadsheets/d/1Yj_ptqi66GCucihVvJfMjLAmec39IyEx_6qawtMGysU/edit?usp=sharing"",""สบก!BY83"")"),71400)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IFERROR(__xludf.DUMMYFUNCTION("IMPORTRANGE(""https://docs.google.com/spreadsheets/d/1IYY_tgx_IHuhSq3AJ5eI5OnqOPBNLWSHKh2a30DoXe8/edit?usp=sharing"",""ตรัง!J175"")"),0)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IFERROR(__xludf.DUMMYFUNCTION("IMPORTRANGE(""https://docs.google.com/spreadsheets/d/1IYY_tgx_IHuhSq3AJ5eI5OnqOPBNLWSHKh2a30DoXe8/edit?usp=sharing"",""ตรัง!J176"")"),1)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IFERROR(__xludf.DUMMYFUNCTION("IMPORTRANGE(""https://docs.google.com/spreadsheets/d/1IYY_tgx_IHuhSq3AJ5eI5OnqOPBNLWSHKh2a30DoXe8/edit?usp=sharing"",""ตรัง!J177"")"),1)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IFERROR(__xludf.DUMMYFUNCTION("IMPORTRANGE(""https://docs.google.com/spreadsheets/d/1IYY_tgx_IHuhSq3AJ5eI5OnqOPBNLWSHKh2a30DoXe8/edit?usp=sharing"",""ตรัง!J178"")"),1)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IFERROR(__xludf.DUMMYFUNCTION("IMPORTRANGE(""https://docs.google.com/spreadsheets/d/1IYY_tgx_IHuhSq3AJ5eI5OnqOPBNLWSHKh2a30DoXe8/edit?usp=sharing"",""ตรัง!I179"")"),1)</f>
        <v>1</v>
      </c>
      <c r="J264" s="195">
        <f ca="1">IFERROR(__xludf.DUMMYFUNCTION("IMPORTRANGE(""https://docs.google.com/spreadsheets/d/1IYY_tgx_IHuhSq3AJ5eI5OnqOPBNLWSHKh2a30DoXe8/edit?usp=sharing"",""ตรัง!J179"")"),1)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IFERROR(__xludf.DUMMYFUNCTION("IMPORTRANGE(""https://docs.google.com/spreadsheets/d/1IYY_tgx_IHuhSq3AJ5eI5OnqOPBNLWSHKh2a30DoXe8/edit?usp=sharing"",""ตรัง!I180"")"),20)</f>
        <v>20</v>
      </c>
      <c r="J265" s="195">
        <f ca="1">IFERROR(__xludf.DUMMYFUNCTION("IMPORTRANGE(""https://docs.google.com/spreadsheets/d/1IYY_tgx_IHuhSq3AJ5eI5OnqOPBNLWSHKh2a30DoXe8/edit?usp=sharing"",""ตรัง!J180"")"),20)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IFERROR(__xludf.DUMMYFUNCTION("IMPORTRANGE(""https://docs.google.com/spreadsheets/d/1IYY_tgx_IHuhSq3AJ5eI5OnqOPBNLWSHKh2a30DoXe8/edit?usp=sharing"",""ตรัง!I181"")"),20)</f>
        <v>20</v>
      </c>
      <c r="J266" s="195">
        <f ca="1">IFERROR(__xludf.DUMMYFUNCTION("IMPORTRANGE(""https://docs.google.com/spreadsheets/d/1IYY_tgx_IHuhSq3AJ5eI5OnqOPBNLWSHKh2a30DoXe8/edit?usp=sharing"",""ตรัง!J181"")"),0)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IFERROR(__xludf.DUMMYFUNCTION("IMPORTRANGE(""https://docs.google.com/spreadsheets/d/1IYY_tgx_IHuhSq3AJ5eI5OnqOPBNLWSHKh2a30DoXe8/edit?usp=sharing"",""ตรัง!I182"")"),1)</f>
        <v>1</v>
      </c>
      <c r="J267" s="195">
        <f ca="1">IFERROR(__xludf.DUMMYFUNCTION("IMPORTRANGE(""https://docs.google.com/spreadsheets/d/1IYY_tgx_IHuhSq3AJ5eI5OnqOPBNLWSHKh2a30DoXe8/edit?usp=sharing"",""ตรัง!J182"")"),1)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IFERROR(__xludf.DUMMYFUNCTION("IMPORTRANGE(""https://docs.google.com/spreadsheets/d/1IYY_tgx_IHuhSq3AJ5eI5OnqOPBNLWSHKh2a30DoXe8/edit?usp=sharing"",""ตรัง!J183"")"),0)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IFERROR(__xludf.DUMMYFUNCTION("IMPORTRANGE(""https://docs.google.com/spreadsheets/d/1IYY_tgx_IHuhSq3AJ5eI5OnqOPBNLWSHKh2a30DoXe8/edit?usp=sharing"",""ตรัง!J184"")"),0)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IFERROR(__xludf.DUMMYFUNCTION("IMPORTRANGE(""https://docs.google.com/spreadsheets/d/1Yj_ptqi66GCucihVvJfMjLAmec39IyEx_6qawtMGysU/edit?usp=sharing"",""สบก!CK83"")"),0)</f>
        <v>0</v>
      </c>
      <c r="N275" s="174">
        <f ca="1">IFERROR(__xludf.DUMMYFUNCTION("IMPORTRANGE(""https://docs.google.com/spreadsheets/d/1Yj_ptqi66GCucihVvJfMjLAmec39IyEx_6qawtMGysU/edit?usp=sharing"",""สบก!CL83"")"),0)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IFERROR(__xludf.DUMMYFUNCTION("IMPORTRANGE(""https://docs.google.com/spreadsheets/d/1Yj_ptqi66GCucihVvJfMjLAmec39IyEx_6qawtMGysU/edit?usp=sharing"",""สบก!CG83"")"),0)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IFERROR(__xludf.DUMMYFUNCTION("IMPORTRANGE(""https://docs.google.com/spreadsheets/d/1Yj_ptqi66GCucihVvJfMjLAmec39IyEx_6qawtMGysU/edit?usp=sharing"",""สบก!CH83"")"),0)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IFERROR(__xludf.DUMMYFUNCTION("IMPORTRANGE(""https://docs.google.com/spreadsheets/d/1IYY_tgx_IHuhSq3AJ5eI5OnqOPBNLWSHKh2a30DoXe8/edit?usp=sharing"",""ตรัง!J191"")"),0)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IFERROR(__xludf.DUMMYFUNCTION("IMPORTRANGE(""https://docs.google.com/spreadsheets/d/1IYY_tgx_IHuhSq3AJ5eI5OnqOPBNLWSHKh2a30DoXe8/edit?usp=sharing"",""ตรัง!J192"")"),0)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IFERROR(__xludf.DUMMYFUNCTION("IMPORTRANGE(""https://docs.google.com/spreadsheets/d/1IYY_tgx_IHuhSq3AJ5eI5OnqOPBNLWSHKh2a30DoXe8/edit?usp=sharing"",""ตรัง!J193"")"),0)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IFERROR(__xludf.DUMMYFUNCTION("IMPORTRANGE(""https://docs.google.com/spreadsheets/d/1IYY_tgx_IHuhSq3AJ5eI5OnqOPBNLWSHKh2a30DoXe8/edit?usp=sharing"",""ตรัง!J194"")"),0)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IFERROR(__xludf.DUMMYFUNCTION("IMPORTRANGE(""https://docs.google.com/spreadsheets/d/1IYY_tgx_IHuhSq3AJ5eI5OnqOPBNLWSHKh2a30DoXe8/edit?usp=sharing"",""ตรัง!I195"")"),0)</f>
        <v>0</v>
      </c>
      <c r="J285" s="195">
        <f ca="1">IFERROR(__xludf.DUMMYFUNCTION("IMPORTRANGE(""https://docs.google.com/spreadsheets/d/1IYY_tgx_IHuhSq3AJ5eI5OnqOPBNLWSHKh2a30DoXe8/edit?usp=sharing"",""ตรัง!J195"")"),0)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IFERROR(__xludf.DUMMYFUNCTION("IMPORTRANGE(""https://docs.google.com/spreadsheets/d/1IYY_tgx_IHuhSq3AJ5eI5OnqOPBNLWSHKh2a30DoXe8/edit?usp=sharing"",""ตรัง!J196"")"),0)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IFERROR(__xludf.DUMMYFUNCTION("IMPORTRANGE(""https://docs.google.com/spreadsheets/d/1IYY_tgx_IHuhSq3AJ5eI5OnqOPBNLWSHKh2a30DoXe8/edit?usp=sharing"",""ตรัง!J197"")"),0)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IFERROR(__xludf.DUMMYFUNCTION("IMPORTRANGE(""https://docs.google.com/spreadsheets/d/1Yj_ptqi66GCucihVvJfMjLAmec39IyEx_6qawtMGysU/edit?usp=sharing"",""สบก!CT83"")"),0)</f>
        <v>0</v>
      </c>
      <c r="N294" s="174">
        <f ca="1">IFERROR(__xludf.DUMMYFUNCTION("IMPORTRANGE(""https://docs.google.com/spreadsheets/d/1Yj_ptqi66GCucihVvJfMjLAmec39IyEx_6qawtMGysU/edit?usp=sharing"",""สบก!CU83"")"),0)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IFERROR(__xludf.DUMMYFUNCTION("IMPORTRANGE(""https://docs.google.com/spreadsheets/d/1Yj_ptqi66GCucihVvJfMjLAmec39IyEx_6qawtMGysU/edit?usp=sharing"",""สบก!CP83"")"),0)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IFERROR(__xludf.DUMMYFUNCTION("IMPORTRANGE(""https://docs.google.com/spreadsheets/d/1Yj_ptqi66GCucihVvJfMjLAmec39IyEx_6qawtMGysU/edit?usp=sharing"",""สบก!CQ83"")"),0)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IFERROR(__xludf.DUMMYFUNCTION("IMPORTRANGE(""https://docs.google.com/spreadsheets/d/1IYY_tgx_IHuhSq3AJ5eI5OnqOPBNLWSHKh2a30DoXe8/edit?usp=sharing"",""ตรัง!J205"")"),0)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IFERROR(__xludf.DUMMYFUNCTION("IMPORTRANGE(""https://docs.google.com/spreadsheets/d/1IYY_tgx_IHuhSq3AJ5eI5OnqOPBNLWSHKh2a30DoXe8/edit?usp=sharing"",""ตรัง!J206"")"),0)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IFERROR(__xludf.DUMMYFUNCTION("IMPORTRANGE(""https://docs.google.com/spreadsheets/d/1IYY_tgx_IHuhSq3AJ5eI5OnqOPBNLWSHKh2a30DoXe8/edit?usp=sharing"",""ตรัง!J207"")"),0)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IFERROR(__xludf.DUMMYFUNCTION("IMPORTRANGE(""https://docs.google.com/spreadsheets/d/1IYY_tgx_IHuhSq3AJ5eI5OnqOPBNLWSHKh2a30DoXe8/edit?usp=sharing"",""ตรัง!J208"")"),0)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IFERROR(__xludf.DUMMYFUNCTION("IMPORTRANGE(""https://docs.google.com/spreadsheets/d/1IYY_tgx_IHuhSq3AJ5eI5OnqOPBNLWSHKh2a30DoXe8/edit?usp=sharing"",""ตรัง!I209"")"),0)</f>
        <v>0</v>
      </c>
      <c r="J304" s="210">
        <f ca="1">IFERROR(__xludf.DUMMYFUNCTION("IMPORTRANGE(""https://docs.google.com/spreadsheets/d/1IYY_tgx_IHuhSq3AJ5eI5OnqOPBNLWSHKh2a30DoXe8/edit?usp=sharing"",""ตรัง!J209"")"),0)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IFERROR(__xludf.DUMMYFUNCTION("IMPORTRANGE(""https://docs.google.com/spreadsheets/d/1IYY_tgx_IHuhSq3AJ5eI5OnqOPBNLWSHKh2a30DoXe8/edit?usp=sharing"",""ตรัง!I211"")"),0)</f>
        <v>0</v>
      </c>
      <c r="J306" s="210">
        <f ca="1">IFERROR(__xludf.DUMMYFUNCTION("IMPORTRANGE(""https://docs.google.com/spreadsheets/d/1IYY_tgx_IHuhSq3AJ5eI5OnqOPBNLWSHKh2a30DoXe8/edit?usp=sharing"",""ตรัง!J211"")"),0)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IFERROR(__xludf.DUMMYFUNCTION("IMPORTRANGE(""https://docs.google.com/spreadsheets/d/1IYY_tgx_IHuhSq3AJ5eI5OnqOPBNLWSHKh2a30DoXe8/edit?usp=sharing"",""ตรัง!J212"")"),0)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IFERROR(__xludf.DUMMYFUNCTION("IMPORTRANGE(""https://docs.google.com/spreadsheets/d/1Yj_ptqi66GCucihVvJfMjLAmec39IyEx_6qawtMGysU/edit?usp=sharing"",""สบก!DC83"")"),0)</f>
        <v>0</v>
      </c>
      <c r="N314" s="174">
        <f ca="1">IFERROR(__xludf.DUMMYFUNCTION("IMPORTRANGE(""https://docs.google.com/spreadsheets/d/1Yj_ptqi66GCucihVvJfMjLAmec39IyEx_6qawtMGysU/edit?usp=sharing"",""สบก!DD83"")"),0)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IFERROR(__xludf.DUMMYFUNCTION("IMPORTRANGE(""https://docs.google.com/spreadsheets/d/1Yj_ptqi66GCucihVvJfMjLAmec39IyEx_6qawtMGysU/edit?usp=sharing"",""สบก!CY83"")"),0)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IFERROR(__xludf.DUMMYFUNCTION("IMPORTRANGE(""https://docs.google.com/spreadsheets/d/1Yj_ptqi66GCucihVvJfMjLAmec39IyEx_6qawtMGysU/edit?usp=sharing"",""สบก!CZ83"")"),0)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IFERROR(__xludf.DUMMYFUNCTION("IMPORTRANGE(""https://docs.google.com/spreadsheets/d/1IYY_tgx_IHuhSq3AJ5eI5OnqOPBNLWSHKh2a30DoXe8/edit?usp=sharing"",""ตรัง!J220"")"),0)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IFERROR(__xludf.DUMMYFUNCTION("IMPORTRANGE(""https://docs.google.com/spreadsheets/d/1IYY_tgx_IHuhSq3AJ5eI5OnqOPBNLWSHKh2a30DoXe8/edit?usp=sharing"",""ตรัง!J221"")"),0)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IFERROR(__xludf.DUMMYFUNCTION("IMPORTRANGE(""https://docs.google.com/spreadsheets/d/1IYY_tgx_IHuhSq3AJ5eI5OnqOPBNLWSHKh2a30DoXe8/edit?usp=sharing"",""ตรัง!J222"")"),0)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IFERROR(__xludf.DUMMYFUNCTION("IMPORTRANGE(""https://docs.google.com/spreadsheets/d/1IYY_tgx_IHuhSq3AJ5eI5OnqOPBNLWSHKh2a30DoXe8/edit?usp=sharing"",""ตรัง!J223"")"),0)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IFERROR(__xludf.DUMMYFUNCTION("IMPORTRANGE(""https://docs.google.com/spreadsheets/d/1IYY_tgx_IHuhSq3AJ5eI5OnqOPBNLWSHKh2a30DoXe8/edit?usp=sharing"",""ตรัง!I224"")"),0)</f>
        <v>0</v>
      </c>
      <c r="J324" s="210">
        <f ca="1">IFERROR(__xludf.DUMMYFUNCTION("IMPORTRANGE(""https://docs.google.com/spreadsheets/d/1IYY_tgx_IHuhSq3AJ5eI5OnqOPBNLWSHKh2a30DoXe8/edit?usp=sharing"",""ตรัง!J224"")"),0)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IFERROR(__xludf.DUMMYFUNCTION("IMPORTRANGE(""https://docs.google.com/spreadsheets/d/1IYY_tgx_IHuhSq3AJ5eI5OnqOPBNLWSHKh2a30DoXe8/edit?usp=sharing"",""ตรัง!J225"")"),0)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IFERROR(__xludf.DUMMYFUNCTION("IMPORTRANGE(""https://docs.google.com/spreadsheets/d/1IYY_tgx_IHuhSq3AJ5eI5OnqOPBNLWSHKh2a30DoXe8/edit?usp=sharing"",""ตรัง!J226"")"),0)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IFERROR(__xludf.DUMMYFUNCTION("IMPORTRANGE(""https://docs.google.com/spreadsheets/d/1IYY_tgx_IHuhSq3AJ5eI5OnqOPBNLWSHKh2a30DoXe8/edit?usp=sharing"",""ตรัง!I228"")"),263)</f>
        <v>263</v>
      </c>
      <c r="J328" s="345">
        <f ca="1">IFERROR(__xludf.DUMMYFUNCTION("IMPORTRANGE(""https://docs.google.com/spreadsheets/d/1IYY_tgx_IHuhSq3AJ5eI5OnqOPBNLWSHKh2a30DoXe8/edit?usp=sharing"",""ตรัง!J228"")"),262)</f>
        <v>262</v>
      </c>
      <c r="K328" s="323">
        <f ca="1">IF(I328&gt;0,J328*100/I328,0)</f>
        <v>99.619771863117876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900750</v>
      </c>
      <c r="M329" s="156">
        <f t="shared" ca="1" si="98"/>
        <v>1008800</v>
      </c>
      <c r="N329" s="156">
        <f t="shared" ca="1" si="98"/>
        <v>774394.51</v>
      </c>
      <c r="O329" s="155">
        <f t="shared" ref="O329:O331" ca="1" si="99">IF(L329&gt;0,N329*100/L329,0)</f>
        <v>85.972190951984459</v>
      </c>
      <c r="P329" s="155">
        <f t="shared" ref="P329:P331" ca="1" si="100">IF(M329&gt;0,N329*100/M329,0)</f>
        <v>76.763928429817611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900750</v>
      </c>
      <c r="M331" s="161">
        <f t="shared" ca="1" si="102"/>
        <v>1008800</v>
      </c>
      <c r="N331" s="161">
        <f t="shared" ca="1" si="102"/>
        <v>774394.51</v>
      </c>
      <c r="O331" s="160">
        <f t="shared" ca="1" si="99"/>
        <v>85.972190951984459</v>
      </c>
      <c r="P331" s="160">
        <f t="shared" ca="1" si="100"/>
        <v>76.763928429817611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749550</v>
      </c>
      <c r="M333" s="173">
        <f ca="1">IFERROR(__xludf.DUMMYFUNCTION("IMPORTRANGE(""https://docs.google.com/spreadsheets/d/1Yj_ptqi66GCucihVvJfMjLAmec39IyEx_6qawtMGysU/edit?usp=sharing"",""สบก!DL83"")"),857600)</f>
        <v>857600</v>
      </c>
      <c r="N333" s="174">
        <f ca="1">IFERROR(__xludf.DUMMYFUNCTION("IMPORTRANGE(""https://docs.google.com/spreadsheets/d/1Yj_ptqi66GCucihVvJfMjLAmec39IyEx_6qawtMGysU/edit?usp=sharing"",""สบก!DM83"")"),623194.51)</f>
        <v>623194.51</v>
      </c>
      <c r="O333" s="175">
        <f ca="1">IF(L333&gt;0,N333*100/L333,0)</f>
        <v>83.142486825428591</v>
      </c>
      <c r="P333" s="175">
        <f ca="1">IF(M333&gt;0,N333*100/M333,0)</f>
        <v>72.6672702891791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IFERROR(__xludf.DUMMYFUNCTION("IMPORTRANGE(""https://docs.google.com/spreadsheets/d/1Yj_ptqi66GCucihVvJfMjLAmec39IyEx_6qawtMGysU/edit?usp=sharing"",""สบก!DH83"")"),388800)</f>
        <v>388800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IFERROR(__xludf.DUMMYFUNCTION("IMPORTRANGE(""https://docs.google.com/spreadsheets/d/1Yj_ptqi66GCucihVvJfMjLAmec39IyEx_6qawtMGysU/edit?usp=sharing"",""สบก!DI83"")"),360750)</f>
        <v>360750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IFERROR(__xludf.DUMMYFUNCTION("IMPORTRANGE(""https://docs.google.com/spreadsheets/d/1IYY_tgx_IHuhSq3AJ5eI5OnqOPBNLWSHKh2a30DoXe8/edit?usp=sharing"",""ตรัง!I234"")"),0)</f>
        <v>0</v>
      </c>
      <c r="J339" s="194">
        <f ca="1">IFERROR(__xludf.DUMMYFUNCTION("IMPORTRANGE(""https://docs.google.com/spreadsheets/d/1IYY_tgx_IHuhSq3AJ5eI5OnqOPBNLWSHKh2a30DoXe8/edit?usp=sharing"",""ตรัง!J234"")"),282)</f>
        <v>282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IFERROR(__xludf.DUMMYFUNCTION("IMPORTRANGE(""https://docs.google.com/spreadsheets/d/1IYY_tgx_IHuhSq3AJ5eI5OnqOPBNLWSHKh2a30DoXe8/edit?usp=sharing"",""ตรัง!I235"")"),1840)</f>
        <v>1840</v>
      </c>
      <c r="J340" s="194">
        <f ca="1">IFERROR(__xludf.DUMMYFUNCTION("IMPORTRANGE(""https://docs.google.com/spreadsheets/d/1IYY_tgx_IHuhSq3AJ5eI5OnqOPBNLWSHKh2a30DoXe8/edit?usp=sharing"",""ตรัง!J235"")"),1806.05)</f>
        <v>1806.05</v>
      </c>
      <c r="K340" s="348">
        <f t="shared" ca="1" si="103"/>
        <v>98.154891304347828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IFERROR(__xludf.DUMMYFUNCTION("IMPORTRANGE(""https://docs.google.com/spreadsheets/d/1IYY_tgx_IHuhSq3AJ5eI5OnqOPBNLWSHKh2a30DoXe8/edit?usp=sharing"",""ตรัง!I236"")"),263)</f>
        <v>263</v>
      </c>
      <c r="J341" s="194">
        <f ca="1">IFERROR(__xludf.DUMMYFUNCTION("IMPORTRANGE(""https://docs.google.com/spreadsheets/d/1IYY_tgx_IHuhSq3AJ5eI5OnqOPBNLWSHKh2a30DoXe8/edit?usp=sharing"",""ตรัง!J236"")"),342)</f>
        <v>342</v>
      </c>
      <c r="K341" s="348">
        <f t="shared" ca="1" si="103"/>
        <v>130.0380228136882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4">
        <f ca="1">IFERROR(__xludf.DUMMYFUNCTION("IMPORTRANGE(""https://docs.google.com/spreadsheets/d/1IYY_tgx_IHuhSq3AJ5eI5OnqOPBNLWSHKh2a30DoXe8/edit?usp=sharing"",""ตรัง!J237"")"),3185.81)</f>
        <v>3185.81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IFERROR(__xludf.DUMMYFUNCTION("IMPORTRANGE(""https://docs.google.com/spreadsheets/d/1IYY_tgx_IHuhSq3AJ5eI5OnqOPBNLWSHKh2a30DoXe8/edit?usp=sharing"",""ตรัง!I238"")"),263)</f>
        <v>263</v>
      </c>
      <c r="J343" s="194">
        <f ca="1">IFERROR(__xludf.DUMMYFUNCTION("IMPORTRANGE(""https://docs.google.com/spreadsheets/d/1IYY_tgx_IHuhSq3AJ5eI5OnqOPBNLWSHKh2a30DoXe8/edit?usp=sharing"",""ตรัง!J238"")"),0)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4">
        <f ca="1">IFERROR(__xludf.DUMMYFUNCTION("IMPORTRANGE(""https://docs.google.com/spreadsheets/d/1IYY_tgx_IHuhSq3AJ5eI5OnqOPBNLWSHKh2a30DoXe8/edit?usp=sharing"",""ตรัง!J239"")"),0)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IFERROR(__xludf.DUMMYFUNCTION("IMPORTRANGE(""https://docs.google.com/spreadsheets/d/1IYY_tgx_IHuhSq3AJ5eI5OnqOPBNLWSHKh2a30DoXe8/edit?usp=sharing"",""ตรัง!I240"")"),263)</f>
        <v>263</v>
      </c>
      <c r="J345" s="194">
        <f ca="1">IFERROR(__xludf.DUMMYFUNCTION("IMPORTRANGE(""https://docs.google.com/spreadsheets/d/1IYY_tgx_IHuhSq3AJ5eI5OnqOPBNLWSHKh2a30DoXe8/edit?usp=sharing"",""ตรัง!J240"")"),262)</f>
        <v>262</v>
      </c>
      <c r="K345" s="348">
        <f t="shared" ca="1" si="103"/>
        <v>99.619771863117876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4">
        <f ca="1">IFERROR(__xludf.DUMMYFUNCTION("IMPORTRANGE(""https://docs.google.com/spreadsheets/d/1IYY_tgx_IHuhSq3AJ5eI5OnqOPBNLWSHKh2a30DoXe8/edit?usp=sharing"",""ตรัง!J241"")"),2729.51)</f>
        <v>2729.51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IFERROR(__xludf.DUMMYFUNCTION("IMPORTRANGE(""https://docs.google.com/spreadsheets/d/1IYY_tgx_IHuhSq3AJ5eI5OnqOPBNLWSHKh2a30DoXe8/edit?usp=sharing"",""ตรัง!L242"")"),1241298)</f>
        <v>1241298</v>
      </c>
      <c r="M347" s="364"/>
      <c r="N347" s="364">
        <f ca="1">IFERROR(__xludf.DUMMYFUNCTION("IMPORTRANGE(""https://docs.google.com/spreadsheets/d/1IYY_tgx_IHuhSq3AJ5eI5OnqOPBNLWSHKh2a30DoXe8/edit?usp=sharing"",""ตรัง!M242"")"),1154093.253)</f>
        <v>1154093.253</v>
      </c>
      <c r="O347" s="364">
        <f ca="1">+IF(L347&gt;0,N347*100/L347,0)</f>
        <v>92.97471300203496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IFERROR(__xludf.DUMMYFUNCTION("IMPORTRANGE(""https://docs.google.com/spreadsheets/d/1IYY_tgx_IHuhSq3AJ5eI5OnqOPBNLWSHKh2a30DoXe8/edit?usp=sharing"",""ตรัง!L244"")"),274060)</f>
        <v>274060</v>
      </c>
      <c r="M349" s="379"/>
      <c r="N349" s="379">
        <f ca="1">IFERROR(__xludf.DUMMYFUNCTION("IMPORTRANGE(""https://docs.google.com/spreadsheets/d/1IYY_tgx_IHuhSq3AJ5eI5OnqOPBNLWSHKh2a30DoXe8/edit?usp=sharing"",""ตรัง!M244"")"),185208.58)</f>
        <v>185208.58</v>
      </c>
      <c r="O349" s="379">
        <f ca="1">+IF(L349&gt;0,N349*100/L349,0)</f>
        <v>67.579573815952713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IFERROR(__xludf.DUMMYFUNCTION("IMPORTRANGE(""https://docs.google.com/spreadsheets/d/1IYY_tgx_IHuhSq3AJ5eI5OnqOPBNLWSHKh2a30DoXe8/edit?usp=sharing"",""ตรัง!L246"")"),0)</f>
        <v>0</v>
      </c>
      <c r="M351" s="168"/>
      <c r="N351" s="168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IFERROR(__xludf.DUMMYFUNCTION("IMPORTRANGE(""https://docs.google.com/spreadsheets/d/1IYY_tgx_IHuhSq3AJ5eI5OnqOPBNLWSHKh2a30DoXe8/edit?usp=sharing"",""ตรัง!L247"")"),274060)</f>
        <v>274060</v>
      </c>
      <c r="M352" s="169"/>
      <c r="N352" s="168">
        <f ca="1">IFERROR(__xludf.DUMMYFUNCTION("IMPORTRANGE(""https://docs.google.com/spreadsheets/d/1IYY_tgx_IHuhSq3AJ5eI5OnqOPBNLWSHKh2a30DoXe8/edit?usp=sharing"",""ตรัง!M247"")"),185208.58)</f>
        <v>185208.58</v>
      </c>
      <c r="O352" s="169">
        <f t="shared" ca="1" si="105"/>
        <v>67.579573815952713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IFERROR(__xludf.DUMMYFUNCTION("IMPORTRANGE(""https://docs.google.com/spreadsheets/d/1IYY_tgx_IHuhSq3AJ5eI5OnqOPBNLWSHKh2a30DoXe8/edit?usp=sharing"",""ตรัง!L248"")"),0)</f>
        <v>0</v>
      </c>
      <c r="M353" s="175"/>
      <c r="N353" s="175">
        <f ca="1">IFERROR(__xludf.DUMMYFUNCTION("IMPORTRANGE(""https://docs.google.com/spreadsheets/d/1IYY_tgx_IHuhSq3AJ5eI5OnqOPBNLWSHKh2a30DoXe8/edit?usp=sharing"",""ตรัง!M248"")"),0)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IFERROR(__xludf.DUMMYFUNCTION("IMPORTRANGE(""https://docs.google.com/spreadsheets/d/1IYY_tgx_IHuhSq3AJ5eI5OnqOPBNLWSHKh2a30DoXe8/edit?usp=sharing"",""ตรัง!L249"")"),274060)</f>
        <v>274060</v>
      </c>
      <c r="M354" s="175"/>
      <c r="N354" s="172">
        <f ca="1">IFERROR(__xludf.DUMMYFUNCTION("IMPORTRANGE(""https://docs.google.com/spreadsheets/d/1IYY_tgx_IHuhSq3AJ5eI5OnqOPBNLWSHKh2a30DoXe8/edit?usp=sharing"",""ตรัง!M249"")"),185208.58)</f>
        <v>185208.58</v>
      </c>
      <c r="O354" s="175">
        <f t="shared" ca="1" si="105"/>
        <v>67.579573815952713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IFERROR(__xludf.DUMMYFUNCTION("IMPORTRANGE(""https://docs.google.com/spreadsheets/d/1IYY_tgx_IHuhSq3AJ5eI5OnqOPBNLWSHKh2a30DoXe8/edit?usp=sharing"",""ตรัง!M250"")"),33000)</f>
        <v>33000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IFERROR(__xludf.DUMMYFUNCTION("IMPORTRANGE(""https://docs.google.com/spreadsheets/d/1IYY_tgx_IHuhSq3AJ5eI5OnqOPBNLWSHKh2a30DoXe8/edit?usp=sharing"",""ตรัง!M251"")"),63670)</f>
        <v>63670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IFERROR(__xludf.DUMMYFUNCTION("IMPORTRANGE(""https://docs.google.com/spreadsheets/d/1IYY_tgx_IHuhSq3AJ5eI5OnqOPBNLWSHKh2a30DoXe8/edit?usp=sharing"",""ตรัง!M252"")"),76633)</f>
        <v>76633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IFERROR(__xludf.DUMMYFUNCTION("IMPORTRANGE(""https://docs.google.com/spreadsheets/d/1IYY_tgx_IHuhSq3AJ5eI5OnqOPBNLWSHKh2a30DoXe8/edit?usp=sharing"",""ตรัง!M253"")"),11905.58)</f>
        <v>11905.58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IFERROR(__xludf.DUMMYFUNCTION("IMPORTRANGE(""https://docs.google.com/spreadsheets/d/1IYY_tgx_IHuhSq3AJ5eI5OnqOPBNLWSHKh2a30DoXe8/edit?usp=sharing"",""ตรัง!J255"")"),0)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IFERROR(__xludf.DUMMYFUNCTION("IMPORTRANGE(""https://docs.google.com/spreadsheets/d/1IYY_tgx_IHuhSq3AJ5eI5OnqOPBNLWSHKh2a30DoXe8/edit?usp=sharing"",""ตรัง!J256"")"),1)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IFERROR(__xludf.DUMMYFUNCTION("IMPORTRANGE(""https://docs.google.com/spreadsheets/d/1IYY_tgx_IHuhSq3AJ5eI5OnqOPBNLWSHKh2a30DoXe8/edit?usp=sharing"",""ตรัง!J257"")"),1)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IFERROR(__xludf.DUMMYFUNCTION("IMPORTRANGE(""https://docs.google.com/spreadsheets/d/1IYY_tgx_IHuhSq3AJ5eI5OnqOPBNLWSHKh2a30DoXe8/edit?usp=sharing"",""ตรัง!J258"")"),1)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IFERROR(__xludf.DUMMYFUNCTION("IMPORTRANGE(""https://docs.google.com/spreadsheets/d/1IYY_tgx_IHuhSq3AJ5eI5OnqOPBNLWSHKh2a30DoXe8/edit?usp=sharing"",""ตรัง!J166"")"),0)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IFERROR(__xludf.DUMMYFUNCTION("IMPORTRANGE(""https://docs.google.com/spreadsheets/d/1IYY_tgx_IHuhSq3AJ5eI5OnqOPBNLWSHKh2a30DoXe8/edit?usp=sharing"",""ตรัง!J166"")"),0)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IFERROR(__xludf.DUMMYFUNCTION("IMPORTRANGE(""https://docs.google.com/spreadsheets/d/1IYY_tgx_IHuhSq3AJ5eI5OnqOPBNLWSHKh2a30DoXe8/edit?usp=sharing"",""ตรัง!J166"")"),0)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IFERROR(__xludf.DUMMYFUNCTION("IMPORTRANGE(""https://docs.google.com/spreadsheets/d/1IYY_tgx_IHuhSq3AJ5eI5OnqOPBNLWSHKh2a30DoXe8/edit?usp=sharing"",""ตรัง!J166"")"),0)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IFERROR(__xludf.DUMMYFUNCTION("IMPORTRANGE(""https://docs.google.com/spreadsheets/d/1IYY_tgx_IHuhSq3AJ5eI5OnqOPBNLWSHKh2a30DoXe8/edit?usp=sharing"",""ตรัง!I263"")"),25)</f>
        <v>25</v>
      </c>
      <c r="J368" s="194">
        <f ca="1">IFERROR(__xludf.DUMMYFUNCTION("IMPORTRANGE(""https://docs.google.com/spreadsheets/d/1IYY_tgx_IHuhSq3AJ5eI5OnqOPBNLWSHKh2a30DoXe8/edit?usp=sharing"",""ตรัง!J263"")"),25)</f>
        <v>25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IFERROR(__xludf.DUMMYFUNCTION("IMPORTRANGE(""https://docs.google.com/spreadsheets/d/1IYY_tgx_IHuhSq3AJ5eI5OnqOPBNLWSHKh2a30DoXe8/edit?usp=sharing"",""ตรัง!I164"")"),0)</f>
        <v>0</v>
      </c>
      <c r="J369" s="210">
        <f ca="1">IFERROR(__xludf.DUMMYFUNCTION("IMPORTRANGE(""https://docs.google.com/spreadsheets/d/1IYY_tgx_IHuhSq3AJ5eI5OnqOPBNLWSHKh2a30DoXe8/edit?usp=sharing"",""ตรัง!J164"")"),0)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IFERROR(__xludf.DUMMYFUNCTION("IMPORTRANGE(""https://docs.google.com/spreadsheets/d/1IYY_tgx_IHuhSq3AJ5eI5OnqOPBNLWSHKh2a30DoXe8/edit?usp=sharing"",""ตรัง!I265"")"),25)</f>
        <v>25</v>
      </c>
      <c r="J370" s="210">
        <f ca="1">IFERROR(__xludf.DUMMYFUNCTION("IMPORTRANGE(""https://docs.google.com/spreadsheets/d/1IYY_tgx_IHuhSq3AJ5eI5OnqOPBNLWSHKh2a30DoXe8/edit?usp=sharing"",""ตรัง!J265"")"),25)</f>
        <v>25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IFERROR(__xludf.DUMMYFUNCTION("IMPORTRANGE(""https://docs.google.com/spreadsheets/d/1IYY_tgx_IHuhSq3AJ5eI5OnqOPBNLWSHKh2a30DoXe8/edit?usp=sharing"",""ตรัง!I164"")"),0)</f>
        <v>0</v>
      </c>
      <c r="J371" s="195">
        <f ca="1">IFERROR(__xludf.DUMMYFUNCTION("IMPORTRANGE(""https://docs.google.com/spreadsheets/d/1IYY_tgx_IHuhSq3AJ5eI5OnqOPBNLWSHKh2a30DoXe8/edit?usp=sharing"",""ตรัง!J164"")"),0)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IFERROR(__xludf.DUMMYFUNCTION("IMPORTRANGE(""https://docs.google.com/spreadsheets/d/1IYY_tgx_IHuhSq3AJ5eI5OnqOPBNLWSHKh2a30DoXe8/edit?usp=sharing"",""ตรัง!I267"")"),25)</f>
        <v>25</v>
      </c>
      <c r="J372" s="195">
        <f ca="1">IFERROR(__xludf.DUMMYFUNCTION("IMPORTRANGE(""https://docs.google.com/spreadsheets/d/1IYY_tgx_IHuhSq3AJ5eI5OnqOPBNLWSHKh2a30DoXe8/edit?usp=sharing"",""ตรัง!J267"")"),25)</f>
        <v>25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IFERROR(__xludf.DUMMYFUNCTION("IMPORTRANGE(""https://docs.google.com/spreadsheets/d/1IYY_tgx_IHuhSq3AJ5eI5OnqOPBNLWSHKh2a30DoXe8/edit?usp=sharing"",""ตรัง!I164"")"),0)</f>
        <v>0</v>
      </c>
      <c r="J373" s="210">
        <f ca="1">IFERROR(__xludf.DUMMYFUNCTION("IMPORTRANGE(""https://docs.google.com/spreadsheets/d/1IYY_tgx_IHuhSq3AJ5eI5OnqOPBNLWSHKh2a30DoXe8/edit?usp=sharing"",""ตรัง!J164"")"),0)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IFERROR(__xludf.DUMMYFUNCTION("IMPORTRANGE(""https://docs.google.com/spreadsheets/d/1IYY_tgx_IHuhSq3AJ5eI5OnqOPBNLWSHKh2a30DoXe8/edit?usp=sharing"",""ตรัง!I164"")"),0)</f>
        <v>0</v>
      </c>
      <c r="J374" s="194">
        <f ca="1">IFERROR(__xludf.DUMMYFUNCTION("IMPORTRANGE(""https://docs.google.com/spreadsheets/d/1IYY_tgx_IHuhSq3AJ5eI5OnqOPBNLWSHKh2a30DoXe8/edit?usp=sharing"",""ตรัง!J164"")"),0)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IFERROR(__xludf.DUMMYFUNCTION("IMPORTRANGE(""https://docs.google.com/spreadsheets/d/1IYY_tgx_IHuhSq3AJ5eI5OnqOPBNLWSHKh2a30DoXe8/edit?usp=sharing"",""ตรัง!I270"")"),70)</f>
        <v>70</v>
      </c>
      <c r="J375" s="194">
        <f ca="1">IFERROR(__xludf.DUMMYFUNCTION("IMPORTRANGE(""https://docs.google.com/spreadsheets/d/1IYY_tgx_IHuhSq3AJ5eI5OnqOPBNLWSHKh2a30DoXe8/edit?usp=sharing"",""ตรัง!J270"")"),0)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IFERROR(__xludf.DUMMYFUNCTION("IMPORTRANGE(""https://docs.google.com/spreadsheets/d/1IYY_tgx_IHuhSq3AJ5eI5OnqOPBNLWSHKh2a30DoXe8/edit?usp=sharing"",""ตรัง!I271"")"),0)</f>
        <v>0</v>
      </c>
      <c r="J376" s="195">
        <f ca="1">IFERROR(__xludf.DUMMYFUNCTION("IMPORTRANGE(""https://docs.google.com/spreadsheets/d/1IYY_tgx_IHuhSq3AJ5eI5OnqOPBNLWSHKh2a30DoXe8/edit?usp=sharing"",""ตรัง!J271"")"),0)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IFERROR(__xludf.DUMMYFUNCTION("IMPORTRANGE(""https://docs.google.com/spreadsheets/d/1IYY_tgx_IHuhSq3AJ5eI5OnqOPBNLWSHKh2a30DoXe8/edit?usp=sharing"",""ตรัง!I272"")"),70)</f>
        <v>70</v>
      </c>
      <c r="J377" s="210">
        <f ca="1">IFERROR(__xludf.DUMMYFUNCTION("IMPORTRANGE(""https://docs.google.com/spreadsheets/d/1IYY_tgx_IHuhSq3AJ5eI5OnqOPBNLWSHKh2a30DoXe8/edit?usp=sharing"",""ตรัง!J272"")"),0)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IFERROR(__xludf.DUMMYFUNCTION("IMPORTRANGE(""https://docs.google.com/spreadsheets/d/1IYY_tgx_IHuhSq3AJ5eI5OnqOPBNLWSHKh2a30DoXe8/edit?usp=sharing"",""ตรัง!J273"")"),0)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IFERROR(__xludf.DUMMYFUNCTION("IMPORTRANGE(""https://docs.google.com/spreadsheets/d/1IYY_tgx_IHuhSq3AJ5eI5OnqOPBNLWSHKh2a30DoXe8/edit?usp=sharing"",""ตรัง!J274"")"),0)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IFERROR(__xludf.DUMMYFUNCTION("IMPORTRANGE(""https://docs.google.com/spreadsheets/d/1IYY_tgx_IHuhSq3AJ5eI5OnqOPBNLWSHKh2a30DoXe8/edit?usp=sharing"",""ตรัง!M275"")"),94523.5)</f>
        <v>94523.5</v>
      </c>
      <c r="O380" s="379">
        <f ca="1">+IF(L380&gt;0,N380*100/L380,0)</f>
        <v>32.161789724396051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IFERROR(__xludf.DUMMYFUNCTION("IMPORTRANGE(""https://docs.google.com/spreadsheets/d/1IYY_tgx_IHuhSq3AJ5eI5OnqOPBNLWSHKh2a30DoXe8/edit?usp=sharing"",""ตรัง!L277"")"),0)</f>
        <v>0</v>
      </c>
      <c r="M382" s="168"/>
      <c r="N382" s="168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IFERROR(__xludf.DUMMYFUNCTION("IMPORTRANGE(""https://docs.google.com/spreadsheets/d/1IYY_tgx_IHuhSq3AJ5eI5OnqOPBNLWSHKh2a30DoXe8/edit?usp=sharing"",""ตรัง!M278"")"),94523.5)</f>
        <v>94523.5</v>
      </c>
      <c r="O383" s="169">
        <f t="shared" ca="1" si="109"/>
        <v>32.161789724396051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IFERROR(__xludf.DUMMYFUNCTION("IMPORTRANGE(""https://docs.google.com/spreadsheets/d/1IYY_tgx_IHuhSq3AJ5eI5OnqOPBNLWSHKh2a30DoXe8/edit?usp=sharing"",""ตรัง!L279"")"),0)</f>
        <v>0</v>
      </c>
      <c r="M384" s="175"/>
      <c r="N384" s="175">
        <f ca="1">IFERROR(__xludf.DUMMYFUNCTION("IMPORTRANGE(""https://docs.google.com/spreadsheets/d/1IYY_tgx_IHuhSq3AJ5eI5OnqOPBNLWSHKh2a30DoXe8/edit?usp=sharing"",""ตรัง!M279"")"),0)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IFERROR(__xludf.DUMMYFUNCTION("IMPORTRANGE(""https://docs.google.com/spreadsheets/d/1IYY_tgx_IHuhSq3AJ5eI5OnqOPBNLWSHKh2a30DoXe8/edit?usp=sharing"",""ตรัง!L280"")"),293900)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IFERROR(__xludf.DUMMYFUNCTION("IMPORTRANGE(""https://docs.google.com/spreadsheets/d/1IYY_tgx_IHuhSq3AJ5eI5OnqOPBNLWSHKh2a30DoXe8/edit?usp=sharing"",""ตรัง!M280"")"),94523.5)</f>
        <v>94523.5</v>
      </c>
      <c r="O385" s="175">
        <f t="shared" ca="1" si="109"/>
        <v>32.161789724396051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IFERROR(__xludf.DUMMYFUNCTION("IMPORTRANGE(""https://docs.google.com/spreadsheets/d/1IYY_tgx_IHuhSq3AJ5eI5OnqOPBNLWSHKh2a30DoXe8/edit?usp=sharing"",""ตรัง!M281"")"),76200)</f>
        <v>76200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IFERROR(__xludf.DUMMYFUNCTION("IMPORTRANGE(""https://docs.google.com/spreadsheets/d/1IYY_tgx_IHuhSq3AJ5eI5OnqOPBNLWSHKh2a30DoXe8/edit?usp=sharing"",""ตรัง!M282"")"),0)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IFERROR(__xludf.DUMMYFUNCTION("IMPORTRANGE(""https://docs.google.com/spreadsheets/d/1IYY_tgx_IHuhSq3AJ5eI5OnqOPBNLWSHKh2a30DoXe8/edit?usp=sharing"",""ตรัง!M284"")"),18323.5)</f>
        <v>18323.5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IFERROR(__xludf.DUMMYFUNCTION("IMPORTRANGE(""https://docs.google.com/spreadsheets/d/1IYY_tgx_IHuhSq3AJ5eI5OnqOPBNLWSHKh2a30DoXe8/edit?usp=sharing"",""ตรัง!J286"")"),0)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IFERROR(__xludf.DUMMYFUNCTION("IMPORTRANGE(""https://docs.google.com/spreadsheets/d/1IYY_tgx_IHuhSq3AJ5eI5OnqOPBNLWSHKh2a30DoXe8/edit?usp=sharing"",""ตรัง!J287"")"),1)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IFERROR(__xludf.DUMMYFUNCTION("IMPORTRANGE(""https://docs.google.com/spreadsheets/d/1IYY_tgx_IHuhSq3AJ5eI5OnqOPBNLWSHKh2a30DoXe8/edit?usp=sharing"",""ตรัง!J288"")"),1)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IFERROR(__xludf.DUMMYFUNCTION("IMPORTRANGE(""https://docs.google.com/spreadsheets/d/1IYY_tgx_IHuhSq3AJ5eI5OnqOPBNLWSHKh2a30DoXe8/edit?usp=sharing"",""ตรัง!J289"")"),1)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IFERROR(__xludf.DUMMYFUNCTION("IMPORTRANGE(""https://docs.google.com/spreadsheets/d/1IYY_tgx_IHuhSq3AJ5eI5OnqOPBNLWSHKh2a30DoXe8/edit?usp=sharing"",""ตรัง!I291"")"),30)</f>
        <v>30</v>
      </c>
      <c r="J396" s="204">
        <f ca="1">IFERROR(__xludf.DUMMYFUNCTION("IMPORTRANGE(""https://docs.google.com/spreadsheets/d/1IYY_tgx_IHuhSq3AJ5eI5OnqOPBNLWSHKh2a30DoXe8/edit?usp=sharing"",""ตรัง!J291"")"),30)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IFERROR(__xludf.DUMMYFUNCTION("IMPORTRANGE(""https://docs.google.com/spreadsheets/d/1IYY_tgx_IHuhSq3AJ5eI5OnqOPBNLWSHKh2a30DoXe8/edit?usp=sharing"",""ตรัง!I292"")"),300)</f>
        <v>300</v>
      </c>
      <c r="J397" s="204">
        <f ca="1">IFERROR(__xludf.DUMMYFUNCTION("IMPORTRANGE(""https://docs.google.com/spreadsheets/d/1IYY_tgx_IHuhSq3AJ5eI5OnqOPBNLWSHKh2a30DoXe8/edit?usp=sharing"",""ตรัง!J292"")"),0)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IFERROR(__xludf.DUMMYFUNCTION("IMPORTRANGE(""https://docs.google.com/spreadsheets/d/1IYY_tgx_IHuhSq3AJ5eI5OnqOPBNLWSHKh2a30DoXe8/edit?usp=sharing"",""ตรัง!I293"")"),30)</f>
        <v>30</v>
      </c>
      <c r="J398" s="204">
        <f ca="1">IFERROR(__xludf.DUMMYFUNCTION("IMPORTRANGE(""https://docs.google.com/spreadsheets/d/1IYY_tgx_IHuhSq3AJ5eI5OnqOPBNLWSHKh2a30DoXe8/edit?usp=sharing"",""ตรัง!J293"")"),0)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IFERROR(__xludf.DUMMYFUNCTION("IMPORTRANGE(""https://docs.google.com/spreadsheets/d/1IYY_tgx_IHuhSq3AJ5eI5OnqOPBNLWSHKh2a30DoXe8/edit?usp=sharing"",""ตรัง!J294"")"),0)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IFERROR(__xludf.DUMMYFUNCTION("IMPORTRANGE(""https://docs.google.com/spreadsheets/d/1IYY_tgx_IHuhSq3AJ5eI5OnqOPBNLWSHKh2a30DoXe8/edit?usp=sharing"",""ตรัง!J295"")"),0)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IFERROR(__xludf.DUMMYFUNCTION("IMPORTRANGE(""https://docs.google.com/spreadsheets/d/1IYY_tgx_IHuhSq3AJ5eI5OnqOPBNLWSHKh2a30DoXe8/edit?usp=sharing"",""ตรัง!M296"")"),72658.643)</f>
        <v>72658.642999999996</v>
      </c>
      <c r="O401" s="379">
        <f ca="1">+IF(L401&gt;0,N401*100/L401,0)</f>
        <v>55.123771337531295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IFERROR(__xludf.DUMMYFUNCTION("IMPORTRANGE(""https://docs.google.com/spreadsheets/d/1IYY_tgx_IHuhSq3AJ5eI5OnqOPBNLWSHKh2a30DoXe8/edit?usp=sharing"",""ตรัง!L298"")"),0)</f>
        <v>0</v>
      </c>
      <c r="M403" s="168"/>
      <c r="N403" s="175">
        <f ca="1">IFERROR(__xludf.DUMMYFUNCTION("IMPORTRANGE(""https://docs.google.com/spreadsheets/d/1IYY_tgx_IHuhSq3AJ5eI5OnqOPBNLWSHKh2a30DoXe8/edit?usp=sharing"",""ตรัง!M298"")"),0)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5">
        <f ca="1">IFERROR(__xludf.DUMMYFUNCTION("IMPORTRANGE(""https://docs.google.com/spreadsheets/d/1IYY_tgx_IHuhSq3AJ5eI5OnqOPBNLWSHKh2a30DoXe8/edit?usp=sharing"",""ตรัง!M299"")"),72658.643)</f>
        <v>72658.642999999996</v>
      </c>
      <c r="O404" s="175">
        <f t="shared" ca="1" si="112"/>
        <v>55.123771337531295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IFERROR(__xludf.DUMMYFUNCTION("IMPORTRANGE(""https://docs.google.com/spreadsheets/d/1IYY_tgx_IHuhSq3AJ5eI5OnqOPBNLWSHKh2a30DoXe8/edit?usp=sharing"",""ตรัง!L300"")"),0)</f>
        <v>0</v>
      </c>
      <c r="M405" s="175"/>
      <c r="N405" s="175">
        <f ca="1">IFERROR(__xludf.DUMMYFUNCTION("IMPORTRANGE(""https://docs.google.com/spreadsheets/d/1IYY_tgx_IHuhSq3AJ5eI5OnqOPBNLWSHKh2a30DoXe8/edit?usp=sharing"",""ตรัง!M300"")"),0)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IFERROR(__xludf.DUMMYFUNCTION("IMPORTRANGE(""https://docs.google.com/spreadsheets/d/1IYY_tgx_IHuhSq3AJ5eI5OnqOPBNLWSHKh2a30DoXe8/edit?usp=sharing"",""ตรัง!L301"")"),131810)</f>
        <v>131810</v>
      </c>
      <c r="M406" s="175"/>
      <c r="N406" s="175">
        <f ca="1">IFERROR(__xludf.DUMMYFUNCTION("IMPORTRANGE(""https://docs.google.com/spreadsheets/d/1IYY_tgx_IHuhSq3AJ5eI5OnqOPBNLWSHKh2a30DoXe8/edit?usp=sharing"",""ตรัง!M301"")"),72658.643)</f>
        <v>72658.642999999996</v>
      </c>
      <c r="O406" s="175">
        <f t="shared" ca="1" si="112"/>
        <v>55.123771337531295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IFERROR(__xludf.DUMMYFUNCTION("IMPORTRANGE(""https://docs.google.com/spreadsheets/d/1IYY_tgx_IHuhSq3AJ5eI5OnqOPBNLWSHKh2a30DoXe8/edit?usp=sharing"",""ตรัง!M302"")"),68059.08)</f>
        <v>68059.08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IFERROR(__xludf.DUMMYFUNCTION("IMPORTRANGE(""https://docs.google.com/spreadsheets/d/1IYY_tgx_IHuhSq3AJ5eI5OnqOPBNLWSHKh2a30DoXe8/edit?usp=sharing"",""ตรัง!M303"")"),0)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IFERROR(__xludf.DUMMYFUNCTION("IMPORTRANGE(""https://docs.google.com/spreadsheets/d/1IYY_tgx_IHuhSq3AJ5eI5OnqOPBNLWSHKh2a30DoXe8/edit?usp=sharing"",""ตรัง!M305"")"),4599.563)</f>
        <v>4599.5630000000001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IFERROR(__xludf.DUMMYFUNCTION("IMPORTRANGE(""https://docs.google.com/spreadsheets/d/1IYY_tgx_IHuhSq3AJ5eI5OnqOPBNLWSHKh2a30DoXe8/edit?usp=sharing"",""ตรัง!J307"")"),0)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IFERROR(__xludf.DUMMYFUNCTION("IMPORTRANGE(""https://docs.google.com/spreadsheets/d/1IYY_tgx_IHuhSq3AJ5eI5OnqOPBNLWSHKh2a30DoXe8/edit?usp=sharing"",""ตรัง!J308"")"),1)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IFERROR(__xludf.DUMMYFUNCTION("IMPORTRANGE(""https://docs.google.com/spreadsheets/d/1IYY_tgx_IHuhSq3AJ5eI5OnqOPBNLWSHKh2a30DoXe8/edit?usp=sharing"",""ตรัง!J309"")"),1)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IFERROR(__xludf.DUMMYFUNCTION("IMPORTRANGE(""https://docs.google.com/spreadsheets/d/1IYY_tgx_IHuhSq3AJ5eI5OnqOPBNLWSHKh2a30DoXe8/edit?usp=sharing"",""ตรัง!J310"")"),1)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IFERROR(__xludf.DUMMYFUNCTION("IMPORTRANGE(""https://docs.google.com/spreadsheets/d/1IYY_tgx_IHuhSq3AJ5eI5OnqOPBNLWSHKh2a30DoXe8/edit?usp=sharing"",""ตรัง!I311"")"),35)</f>
        <v>35</v>
      </c>
      <c r="J416" s="207">
        <f ca="1">IFERROR(__xludf.DUMMYFUNCTION("IMPORTRANGE(""https://docs.google.com/spreadsheets/d/1IYY_tgx_IHuhSq3AJ5eI5OnqOPBNLWSHKh2a30DoXe8/edit?usp=sharing"",""ตรัง!J311"")"),35)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IFERROR(__xludf.DUMMYFUNCTION("IMPORTRANGE(""https://docs.google.com/spreadsheets/d/1IYY_tgx_IHuhSq3AJ5eI5OnqOPBNLWSHKh2a30DoXe8/edit?usp=sharing"",""ตรัง!J328"")"),0)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IFERROR(__xludf.DUMMYFUNCTION("IMPORTRANGE(""https://docs.google.com/spreadsheets/d/1IYY_tgx_IHuhSq3AJ5eI5OnqOPBNLWSHKh2a30DoXe8/edit?usp=sharing"",""ตรัง!J329"")"),0)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IFERROR(__xludf.DUMMYFUNCTION("IMPORTRANGE(""https://docs.google.com/spreadsheets/d/1IYY_tgx_IHuhSq3AJ5eI5OnqOPBNLWSHKh2a30DoXe8/edit?usp=sharing"",""ตรัง!M330"")"),50959.2299999999)</f>
        <v>50959.229999999901</v>
      </c>
      <c r="O435" s="418">
        <f t="shared" ref="O435:O439" ca="1" si="114">+IF(L435&gt;0,N435*100/L435,0)</f>
        <v>57.908215909090792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IFERROR(__xludf.DUMMYFUNCTION("IMPORTRANGE(""https://docs.google.com/spreadsheets/d/1IYY_tgx_IHuhSq3AJ5eI5OnqOPBNLWSHKh2a30DoXe8/edit?usp=sharing"",""ตรัง!L331"")"),0)</f>
        <v>0</v>
      </c>
      <c r="M436" s="168"/>
      <c r="N436" s="175">
        <f ca="1">IFERROR(__xludf.DUMMYFUNCTION("IMPORTRANGE(""https://docs.google.com/spreadsheets/d/1IYY_tgx_IHuhSq3AJ5eI5OnqOPBNLWSHKh2a30DoXe8/edit?usp=sharing"",""ตรัง!M331"")"),0)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IFERROR(__xludf.DUMMYFUNCTION("IMPORTRANGE(""https://docs.google.com/spreadsheets/d/1IYY_tgx_IHuhSq3AJ5eI5OnqOPBNLWSHKh2a30DoXe8/edit?usp=sharing"",""ตรัง!L332"")"),88000)</f>
        <v>88000</v>
      </c>
      <c r="M437" s="169"/>
      <c r="N437" s="175">
        <f ca="1">IFERROR(__xludf.DUMMYFUNCTION("IMPORTRANGE(""https://docs.google.com/spreadsheets/d/1IYY_tgx_IHuhSq3AJ5eI5OnqOPBNLWSHKh2a30DoXe8/edit?usp=sharing"",""ตรัง!M332"")"),50959.2299999999)</f>
        <v>50959.229999999901</v>
      </c>
      <c r="O437" s="175">
        <f t="shared" ca="1" si="114"/>
        <v>57.908215909090792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IFERROR(__xludf.DUMMYFUNCTION("IMPORTRANGE(""https://docs.google.com/spreadsheets/d/1IYY_tgx_IHuhSq3AJ5eI5OnqOPBNLWSHKh2a30DoXe8/edit?usp=sharing"",""ตรัง!L333"")"),0)</f>
        <v>0</v>
      </c>
      <c r="M438" s="175"/>
      <c r="N438" s="175">
        <f ca="1">IFERROR(__xludf.DUMMYFUNCTION("IMPORTRANGE(""https://docs.google.com/spreadsheets/d/1IYY_tgx_IHuhSq3AJ5eI5OnqOPBNLWSHKh2a30DoXe8/edit?usp=sharing"",""ตรัง!M333"")"),0)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IFERROR(__xludf.DUMMYFUNCTION("IMPORTRANGE(""https://docs.google.com/spreadsheets/d/1IYY_tgx_IHuhSq3AJ5eI5OnqOPBNLWSHKh2a30DoXe8/edit?usp=sharing"",""ตรัง!L334"")"),88000)</f>
        <v>88000</v>
      </c>
      <c r="M439" s="175"/>
      <c r="N439" s="175">
        <f ca="1">IFERROR(__xludf.DUMMYFUNCTION("IMPORTRANGE(""https://docs.google.com/spreadsheets/d/1IYY_tgx_IHuhSq3AJ5eI5OnqOPBNLWSHKh2a30DoXe8/edit?usp=sharing"",""ตรัง!M334"")"),50959.2299999999)</f>
        <v>50959.229999999901</v>
      </c>
      <c r="O439" s="175">
        <f t="shared" ca="1" si="114"/>
        <v>57.908215909090792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IFERROR(__xludf.DUMMYFUNCTION("IMPORTRANGE(""https://docs.google.com/spreadsheets/d/1IYY_tgx_IHuhSq3AJ5eI5OnqOPBNLWSHKh2a30DoXe8/edit?usp=sharing"",""ตรัง!M335"")"),37126.25)</f>
        <v>37126.25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IFERROR(__xludf.DUMMYFUNCTION("IMPORTRANGE(""https://docs.google.com/spreadsheets/d/1IYY_tgx_IHuhSq3AJ5eI5OnqOPBNLWSHKh2a30DoXe8/edit?usp=sharing"",""ตรัง!M338"")"),13832.98)</f>
        <v>13832.98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IFERROR(__xludf.DUMMYFUNCTION("IMPORTRANGE(""https://docs.google.com/spreadsheets/d/1IYY_tgx_IHuhSq3AJ5eI5OnqOPBNLWSHKh2a30DoXe8/edit?usp=sharing"",""ตรัง!J340"")"),0)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IFERROR(__xludf.DUMMYFUNCTION("IMPORTRANGE(""https://docs.google.com/spreadsheets/d/1IYY_tgx_IHuhSq3AJ5eI5OnqOPBNLWSHKh2a30DoXe8/edit?usp=sharing"",""ตรัง!J341"")"),1)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IFERROR(__xludf.DUMMYFUNCTION("IMPORTRANGE(""https://docs.google.com/spreadsheets/d/1IYY_tgx_IHuhSq3AJ5eI5OnqOPBNLWSHKh2a30DoXe8/edit?usp=sharing"",""ตรัง!J342"")"),1)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IFERROR(__xludf.DUMMYFUNCTION("IMPORTRANGE(""https://docs.google.com/spreadsheets/d/1IYY_tgx_IHuhSq3AJ5eI5OnqOPBNLWSHKh2a30DoXe8/edit?usp=sharing"",""ตรัง!J343"")"),1)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7">
        <f ca="1">IFERROR(__xludf.DUMMYFUNCTION("IMPORTRANGE(""https://docs.google.com/spreadsheets/d/1IYY_tgx_IHuhSq3AJ5eI5OnqOPBNLWSHKh2a30DoXe8/edit?usp=sharing"",""ตรัง!J344"")"),15)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5">
        <f ca="1">IFERROR(__xludf.DUMMYFUNCTION("IMPORTRANGE(""https://docs.google.com/spreadsheets/d/1IYY_tgx_IHuhSq3AJ5eI5OnqOPBNLWSHKh2a30DoXe8/edit?usp=sharing"",""ตรัง!J345"")"),15)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4">
        <f ca="1">IFERROR(__xludf.DUMMYFUNCTION("IMPORTRANGE(""https://docs.google.com/spreadsheets/d/1IYY_tgx_IHuhSq3AJ5eI5OnqOPBNLWSHKh2a30DoXe8/edit?usp=sharing"",""ตรัง!J346"")"),0)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IFERROR(__xludf.DUMMYFUNCTION("IMPORTRANGE(""https://docs.google.com/spreadsheets/d/1IYY_tgx_IHuhSq3AJ5eI5OnqOPBNLWSHKh2a30DoXe8/edit?usp=sharing"",""ตรัง!I347"")"),0)</f>
        <v>0</v>
      </c>
      <c r="J452" s="194">
        <f ca="1">IFERROR(__xludf.DUMMYFUNCTION("IMPORTRANGE(""https://docs.google.com/spreadsheets/d/1IYY_tgx_IHuhSq3AJ5eI5OnqOPBNLWSHKh2a30DoXe8/edit?usp=sharing"",""ตรัง!J347"")"),0)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IFERROR(__xludf.DUMMYFUNCTION("IMPORTRANGE(""https://docs.google.com/spreadsheets/d/1IYY_tgx_IHuhSq3AJ5eI5OnqOPBNLWSHKh2a30DoXe8/edit?usp=sharing"",""ตรัง!J348"")"),0)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IFERROR(__xludf.DUMMYFUNCTION("IMPORTRANGE(""https://docs.google.com/spreadsheets/d/1IYY_tgx_IHuhSq3AJ5eI5OnqOPBNLWSHKh2a30DoXe8/edit?usp=sharing"",""ตรัง!J349"")"),0)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IFERROR(__xludf.DUMMYFUNCTION("IMPORTRANGE(""https://docs.google.com/spreadsheets/d/1IYY_tgx_IHuhSq3AJ5eI5OnqOPBNLWSHKh2a30DoXe8/edit?usp=sharing"",""ตรัง!L350"")"),284718)</f>
        <v>284718</v>
      </c>
      <c r="M455" s="379"/>
      <c r="N455" s="379">
        <f ca="1">IFERROR(__xludf.DUMMYFUNCTION("IMPORTRANGE(""https://docs.google.com/spreadsheets/d/1IYY_tgx_IHuhSq3AJ5eI5OnqOPBNLWSHKh2a30DoXe8/edit?usp=sharing"",""ตรัง!M350"")"),607809.38)</f>
        <v>607809.38</v>
      </c>
      <c r="O455" s="379">
        <f t="shared" ref="O455:O459" ca="1" si="116">+IF(L455&gt;0,N455*100/L455,0)</f>
        <v>213.47767966900582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IFERROR(__xludf.DUMMYFUNCTION("IMPORTRANGE(""https://docs.google.com/spreadsheets/d/1IYY_tgx_IHuhSq3AJ5eI5OnqOPBNLWSHKh2a30DoXe8/edit?usp=sharing"",""ตรัง!L351"")"),0)</f>
        <v>0</v>
      </c>
      <c r="M456" s="168"/>
      <c r="N456" s="175">
        <f ca="1">IFERROR(__xludf.DUMMYFUNCTION("IMPORTRANGE(""https://docs.google.com/spreadsheets/d/1IYY_tgx_IHuhSq3AJ5eI5OnqOPBNLWSHKh2a30DoXe8/edit?usp=sharing"",""ตรัง!M351"")"),0)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IFERROR(__xludf.DUMMYFUNCTION("IMPORTRANGE(""https://docs.google.com/spreadsheets/d/1IYY_tgx_IHuhSq3AJ5eI5OnqOPBNLWSHKh2a30DoXe8/edit?usp=sharing"",""ตรัง!L352"")"),284718)</f>
        <v>284718</v>
      </c>
      <c r="M457" s="169"/>
      <c r="N457" s="175">
        <f ca="1">IFERROR(__xludf.DUMMYFUNCTION("IMPORTRANGE(""https://docs.google.com/spreadsheets/d/1IYY_tgx_IHuhSq3AJ5eI5OnqOPBNLWSHKh2a30DoXe8/edit?usp=sharing"",""ตรัง!M352"")"),607809.38)</f>
        <v>607809.38</v>
      </c>
      <c r="O457" s="175">
        <f t="shared" ca="1" si="116"/>
        <v>213.47767966900582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IFERROR(__xludf.DUMMYFUNCTION("IMPORTRANGE(""https://docs.google.com/spreadsheets/d/1IYY_tgx_IHuhSq3AJ5eI5OnqOPBNLWSHKh2a30DoXe8/edit?usp=sharing"",""ตรัง!L353"")"),0)</f>
        <v>0</v>
      </c>
      <c r="M458" s="175"/>
      <c r="N458" s="175">
        <f ca="1">IFERROR(__xludf.DUMMYFUNCTION("IMPORTRANGE(""https://docs.google.com/spreadsheets/d/1IYY_tgx_IHuhSq3AJ5eI5OnqOPBNLWSHKh2a30DoXe8/edit?usp=sharing"",""ตรัง!M353"")"),0)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IFERROR(__xludf.DUMMYFUNCTION("IMPORTRANGE(""https://docs.google.com/spreadsheets/d/1IYY_tgx_IHuhSq3AJ5eI5OnqOPBNLWSHKh2a30DoXe8/edit?usp=sharing"",""ตรัง!L354"")"),284718)</f>
        <v>284718</v>
      </c>
      <c r="M459" s="175"/>
      <c r="N459" s="175">
        <f ca="1">IFERROR(__xludf.DUMMYFUNCTION("IMPORTRANGE(""https://docs.google.com/spreadsheets/d/1IYY_tgx_IHuhSq3AJ5eI5OnqOPBNLWSHKh2a30DoXe8/edit?usp=sharing"",""ตรัง!M354"")"),607809.38)</f>
        <v>607809.38</v>
      </c>
      <c r="O459" s="175">
        <f t="shared" ca="1" si="116"/>
        <v>213.47767966900582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IFERROR(__xludf.DUMMYFUNCTION("IMPORTRANGE(""https://docs.google.com/spreadsheets/d/1IYY_tgx_IHuhSq3AJ5eI5OnqOPBNLWSHKh2a30DoXe8/edit?usp=sharing"",""ตรัง!M355"")"),0)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IFERROR(__xludf.DUMMYFUNCTION("IMPORTRANGE(""https://docs.google.com/spreadsheets/d/1IYY_tgx_IHuhSq3AJ5eI5OnqOPBNLWSHKh2a30DoXe8/edit?usp=sharing"",""ตรัง!M356"")"),0)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IFERROR(__xludf.DUMMYFUNCTION("IMPORTRANGE(""https://docs.google.com/spreadsheets/d/1IYY_tgx_IHuhSq3AJ5eI5OnqOPBNLWSHKh2a30DoXe8/edit?usp=sharing"",""ตรัง!M358"")"),607809.38)</f>
        <v>607809.38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IFERROR(__xludf.DUMMYFUNCTION("IMPORTRANGE(""https://docs.google.com/spreadsheets/d/1IYY_tgx_IHuhSq3AJ5eI5OnqOPBNLWSHKh2a30DoXe8/edit?usp=sharing"",""ตรัง!I359"")"),39755)</f>
        <v>39755</v>
      </c>
      <c r="J464" s="273">
        <f ca="1">IFERROR(__xludf.DUMMYFUNCTION("IMPORTRANGE(""https://docs.google.com/spreadsheets/d/1IYY_tgx_IHuhSq3AJ5eI5OnqOPBNLWSHKh2a30DoXe8/edit?usp=sharing"",""ตรัง!J359"")"),36628)</f>
        <v>36628</v>
      </c>
      <c r="K464" s="274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8">
        <f t="shared" ca="1" si="117"/>
        <v>99.971534301167097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IFERROR(__xludf.DUMMYFUNCTION("IMPORTRANGE(""https://docs.google.com/spreadsheets/d/1IYY_tgx_IHuhSq3AJ5eI5OnqOPBNLWSHKh2a30DoXe8/edit?usp=sharing"",""ตรัง!I362"")"),0)</f>
        <v>0</v>
      </c>
      <c r="J467" s="195">
        <f ca="1">IFERROR(__xludf.DUMMYFUNCTION("IMPORTRANGE(""https://docs.google.com/spreadsheets/d/1IYY_tgx_IHuhSq3AJ5eI5OnqOPBNLWSHKh2a30DoXe8/edit?usp=sharing"",""ตรัง!J362"")"),36628)</f>
        <v>36628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IFERROR(__xludf.DUMMYFUNCTION("IMPORTRANGE(""https://docs.google.com/spreadsheets/d/1IYY_tgx_IHuhSq3AJ5eI5OnqOPBNLWSHKh2a30DoXe8/edit?usp=sharing"",""ตรัง!I363"")"),0)</f>
        <v>0</v>
      </c>
      <c r="J468" s="195">
        <f ca="1">IFERROR(__xludf.DUMMYFUNCTION("IMPORTRANGE(""https://docs.google.com/spreadsheets/d/1IYY_tgx_IHuhSq3AJ5eI5OnqOPBNLWSHKh2a30DoXe8/edit?usp=sharing"",""ตรัง!J363"")"),3274)</f>
        <v>3274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IFERROR(__xludf.DUMMYFUNCTION("IMPORTRANGE(""https://docs.google.com/spreadsheets/d/1IYY_tgx_IHuhSq3AJ5eI5OnqOPBNLWSHKh2a30DoXe8/edit?usp=sharing"",""ตรัง!I364"")"),0)</f>
        <v>0</v>
      </c>
      <c r="J469" s="195">
        <f ca="1">IFERROR(__xludf.DUMMYFUNCTION("IMPORTRANGE(""https://docs.google.com/spreadsheets/d/1IYY_tgx_IHuhSq3AJ5eI5OnqOPBNLWSHKh2a30DoXe8/edit?usp=sharing"",""ตรัง!J364"")"),1659)</f>
        <v>1659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IFERROR(__xludf.DUMMYFUNCTION("IMPORTRANGE(""https://docs.google.com/spreadsheets/d/1IYY_tgx_IHuhSq3AJ5eI5OnqOPBNLWSHKh2a30DoXe8/edit?usp=sharing"",""ตรัง!I365"")"),0)</f>
        <v>0</v>
      </c>
      <c r="J470" s="195">
        <f ca="1">IFERROR(__xludf.DUMMYFUNCTION("IMPORTRANGE(""https://docs.google.com/spreadsheets/d/1IYY_tgx_IHuhSq3AJ5eI5OnqOPBNLWSHKh2a30DoXe8/edit?usp=sharing"",""ตรัง!J365"")"),133)</f>
        <v>133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IFERROR(__xludf.DUMMYFUNCTION("IMPORTRANGE(""https://docs.google.com/spreadsheets/d/1IYY_tgx_IHuhSq3AJ5eI5OnqOPBNLWSHKh2a30DoXe8/edit?usp=sharing"",""ตรัง!I366"")"),0)</f>
        <v>0</v>
      </c>
      <c r="J471" s="195">
        <f ca="1">IFERROR(__xludf.DUMMYFUNCTION("IMPORTRANGE(""https://docs.google.com/spreadsheets/d/1IYY_tgx_IHuhSq3AJ5eI5OnqOPBNLWSHKh2a30DoXe8/edit?usp=sharing"",""ตรัง!J366"")"),1468)</f>
        <v>1468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IFERROR(__xludf.DUMMYFUNCTION("IMPORTRANGE(""https://docs.google.com/spreadsheets/d/1IYY_tgx_IHuhSq3AJ5eI5OnqOPBNLWSHKh2a30DoXe8/edit?usp=sharing"",""ตรัง!I367"")"),0)</f>
        <v>0</v>
      </c>
      <c r="J472" s="195">
        <f ca="1">IFERROR(__xludf.DUMMYFUNCTION("IMPORTRANGE(""https://docs.google.com/spreadsheets/d/1IYY_tgx_IHuhSq3AJ5eI5OnqOPBNLWSHKh2a30DoXe8/edit?usp=sharing"",""ตรัง!J367"")"),105)</f>
        <v>105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208">
        <f t="shared" ca="1" si="117"/>
        <v>99.971534301167097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IFERROR(__xludf.DUMMYFUNCTION("IMPORTRANGE(""https://docs.google.com/spreadsheets/d/1IYY_tgx_IHuhSq3AJ5eI5OnqOPBNLWSHKh2a30DoXe8/edit?usp=sharing"",""ตรัง!I370"")"),0)</f>
        <v>0</v>
      </c>
      <c r="J475" s="195">
        <f ca="1">IFERROR(__xludf.DUMMYFUNCTION("IMPORTRANGE(""https://docs.google.com/spreadsheets/d/1IYY_tgx_IHuhSq3AJ5eI5OnqOPBNLWSHKh2a30DoXe8/edit?usp=sharing"",""ตรัง!J370"")"),36628)</f>
        <v>36628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IFERROR(__xludf.DUMMYFUNCTION("IMPORTRANGE(""https://docs.google.com/spreadsheets/d/1IYY_tgx_IHuhSq3AJ5eI5OnqOPBNLWSHKh2a30DoXe8/edit?usp=sharing"",""ตรัง!I371"")"),0)</f>
        <v>0</v>
      </c>
      <c r="J476" s="195">
        <f ca="1">IFERROR(__xludf.DUMMYFUNCTION("IMPORTRANGE(""https://docs.google.com/spreadsheets/d/1IYY_tgx_IHuhSq3AJ5eI5OnqOPBNLWSHKh2a30DoXe8/edit?usp=sharing"",""ตรัง!J371"")"),3274)</f>
        <v>3274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IFERROR(__xludf.DUMMYFUNCTION("IMPORTRANGE(""https://docs.google.com/spreadsheets/d/1IYY_tgx_IHuhSq3AJ5eI5OnqOPBNLWSHKh2a30DoXe8/edit?usp=sharing"",""ตรัง!I372"")"),0)</f>
        <v>0</v>
      </c>
      <c r="J477" s="195">
        <f ca="1">IFERROR(__xludf.DUMMYFUNCTION("IMPORTRANGE(""https://docs.google.com/spreadsheets/d/1IYY_tgx_IHuhSq3AJ5eI5OnqOPBNLWSHKh2a30DoXe8/edit?usp=sharing"",""ตรัง!J372"")"),1659)</f>
        <v>1659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IFERROR(__xludf.DUMMYFUNCTION("IMPORTRANGE(""https://docs.google.com/spreadsheets/d/1IYY_tgx_IHuhSq3AJ5eI5OnqOPBNLWSHKh2a30DoXe8/edit?usp=sharing"",""ตรัง!I373"")"),0)</f>
        <v>0</v>
      </c>
      <c r="J478" s="195">
        <f ca="1">IFERROR(__xludf.DUMMYFUNCTION("IMPORTRANGE(""https://docs.google.com/spreadsheets/d/1IYY_tgx_IHuhSq3AJ5eI5OnqOPBNLWSHKh2a30DoXe8/edit?usp=sharing"",""ตรัง!J373"")"),133)</f>
        <v>133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IFERROR(__xludf.DUMMYFUNCTION("IMPORTRANGE(""https://docs.google.com/spreadsheets/d/1IYY_tgx_IHuhSq3AJ5eI5OnqOPBNLWSHKh2a30DoXe8/edit?usp=sharing"",""ตรัง!I374"")"),0)</f>
        <v>0</v>
      </c>
      <c r="J479" s="195">
        <f ca="1">IFERROR(__xludf.DUMMYFUNCTION("IMPORTRANGE(""https://docs.google.com/spreadsheets/d/1IYY_tgx_IHuhSq3AJ5eI5OnqOPBNLWSHKh2a30DoXe8/edit?usp=sharing"",""ตรัง!J374"")"),1468)</f>
        <v>1468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IFERROR(__xludf.DUMMYFUNCTION("IMPORTRANGE(""https://docs.google.com/spreadsheets/d/1IYY_tgx_IHuhSq3AJ5eI5OnqOPBNLWSHKh2a30DoXe8/edit?usp=sharing"",""ตรัง!I375"")"),0)</f>
        <v>0</v>
      </c>
      <c r="J480" s="195">
        <f ca="1">IFERROR(__xludf.DUMMYFUNCTION("IMPORTRANGE(""https://docs.google.com/spreadsheets/d/1IYY_tgx_IHuhSq3AJ5eI5OnqOPBNLWSHKh2a30DoXe8/edit?usp=sharing"",""ตรัง!J375"")"),105)</f>
        <v>105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8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208">
        <f t="shared" ca="1" si="117"/>
        <v>93.196697978935376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IFERROR(__xludf.DUMMYFUNCTION("IMPORTRANGE(""https://docs.google.com/spreadsheets/d/1IYY_tgx_IHuhSq3AJ5eI5OnqOPBNLWSHKh2a30DoXe8/edit?usp=sharing"",""ตรัง!I378"")"),0)</f>
        <v>0</v>
      </c>
      <c r="J483" s="195">
        <f ca="1">IFERROR(__xludf.DUMMYFUNCTION("IMPORTRANGE(""https://docs.google.com/spreadsheets/d/1IYY_tgx_IHuhSq3AJ5eI5OnqOPBNLWSHKh2a30DoXe8/edit?usp=sharing"",""ตรัง!J378"")"),36628)</f>
        <v>36628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IFERROR(__xludf.DUMMYFUNCTION("IMPORTRANGE(""https://docs.google.com/spreadsheets/d/1IYY_tgx_IHuhSq3AJ5eI5OnqOPBNLWSHKh2a30DoXe8/edit?usp=sharing"",""ตรัง!I379"")"),0)</f>
        <v>0</v>
      </c>
      <c r="J484" s="195">
        <f ca="1">IFERROR(__xludf.DUMMYFUNCTION("IMPORTRANGE(""https://docs.google.com/spreadsheets/d/1IYY_tgx_IHuhSq3AJ5eI5OnqOPBNLWSHKh2a30DoXe8/edit?usp=sharing"",""ตรัง!J379"")"),3274)</f>
        <v>3274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IFERROR(__xludf.DUMMYFUNCTION("IMPORTRANGE(""https://docs.google.com/spreadsheets/d/1IYY_tgx_IHuhSq3AJ5eI5OnqOPBNLWSHKh2a30DoXe8/edit?usp=sharing"",""ตรัง!I380"")"),0)</f>
        <v>0</v>
      </c>
      <c r="J485" s="195">
        <f ca="1">IFERROR(__xludf.DUMMYFUNCTION("IMPORTRANGE(""https://docs.google.com/spreadsheets/d/1IYY_tgx_IHuhSq3AJ5eI5OnqOPBNLWSHKh2a30DoXe8/edit?usp=sharing"",""ตรัง!J380"")"),0)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IFERROR(__xludf.DUMMYFUNCTION("IMPORTRANGE(""https://docs.google.com/spreadsheets/d/1IYY_tgx_IHuhSq3AJ5eI5OnqOPBNLWSHKh2a30DoXe8/edit?usp=sharing"",""ตรัง!I381"")"),0)</f>
        <v>0</v>
      </c>
      <c r="J486" s="195">
        <f ca="1">IFERROR(__xludf.DUMMYFUNCTION("IMPORTRANGE(""https://docs.google.com/spreadsheets/d/1IYY_tgx_IHuhSq3AJ5eI5OnqOPBNLWSHKh2a30DoXe8/edit?usp=sharing"",""ตรัง!J381"")"),0)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IFERROR(__xludf.DUMMYFUNCTION("IMPORTRANGE(""https://docs.google.com/spreadsheets/d/1IYY_tgx_IHuhSq3AJ5eI5OnqOPBNLWSHKh2a30DoXe8/edit?usp=sharing"",""ตรัง!I384"")"),0)</f>
        <v>0</v>
      </c>
      <c r="J489" s="195">
        <f ca="1">IFERROR(__xludf.DUMMYFUNCTION("IMPORTRANGE(""https://docs.google.com/spreadsheets/d/1IYY_tgx_IHuhSq3AJ5eI5OnqOPBNLWSHKh2a30DoXe8/edit?usp=sharing"",""ตรัง!J384"")"),0)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IFERROR(__xludf.DUMMYFUNCTION("IMPORTRANGE(""https://docs.google.com/spreadsheets/d/1IYY_tgx_IHuhSq3AJ5eI5OnqOPBNLWSHKh2a30DoXe8/edit?usp=sharing"",""ตรัง!I385"")"),0)</f>
        <v>0</v>
      </c>
      <c r="J490" s="195">
        <f ca="1">IFERROR(__xludf.DUMMYFUNCTION("IMPORTRANGE(""https://docs.google.com/spreadsheets/d/1IYY_tgx_IHuhSq3AJ5eI5OnqOPBNLWSHKh2a30DoXe8/edit?usp=sharing"",""ตรัง!J385"")"),0)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IFERROR(__xludf.DUMMYFUNCTION("IMPORTRANGE(""https://docs.google.com/spreadsheets/d/1IYY_tgx_IHuhSq3AJ5eI5OnqOPBNLWSHKh2a30DoXe8/edit?usp=sharing"",""ตรัง!I386"")"),0)</f>
        <v>0</v>
      </c>
      <c r="J491" s="195">
        <f ca="1">IFERROR(__xludf.DUMMYFUNCTION("IMPORTRANGE(""https://docs.google.com/spreadsheets/d/1IYY_tgx_IHuhSq3AJ5eI5OnqOPBNLWSHKh2a30DoXe8/edit?usp=sharing"",""ตรัง!J386"")"),0)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IFERROR(__xludf.DUMMYFUNCTION("IMPORTRANGE(""https://docs.google.com/spreadsheets/d/1IYY_tgx_IHuhSq3AJ5eI5OnqOPBNLWSHKh2a30DoXe8/edit?usp=sharing"",""ตรัง!I387"")"),0)</f>
        <v>0</v>
      </c>
      <c r="J492" s="195">
        <f ca="1">IFERROR(__xludf.DUMMYFUNCTION("IMPORTRANGE(""https://docs.google.com/spreadsheets/d/1IYY_tgx_IHuhSq3AJ5eI5OnqOPBNLWSHKh2a30DoXe8/edit?usp=sharing"",""ตรัง!J387"")"),0)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IFERROR(__xludf.DUMMYFUNCTION("IMPORTRANGE(""https://docs.google.com/spreadsheets/d/1IYY_tgx_IHuhSq3AJ5eI5OnqOPBNLWSHKh2a30DoXe8/edit?usp=sharing"",""ตรัง!I388"")"),0)</f>
        <v>0</v>
      </c>
      <c r="J493" s="195">
        <f ca="1">IFERROR(__xludf.DUMMYFUNCTION("IMPORTRANGE(""https://docs.google.com/spreadsheets/d/1IYY_tgx_IHuhSq3AJ5eI5OnqOPBNLWSHKh2a30DoXe8/edit?usp=sharing"",""ตรัง!J388"")"),0)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IFERROR(__xludf.DUMMYFUNCTION("IMPORTRANGE(""https://docs.google.com/spreadsheets/d/1IYY_tgx_IHuhSq3AJ5eI5OnqOPBNLWSHKh2a30DoXe8/edit?usp=sharing"",""ตรัง!I395"")"),0)</f>
        <v>0</v>
      </c>
      <c r="J500" s="166">
        <f ca="1">IFERROR(__xludf.DUMMYFUNCTION("IMPORTRANGE(""https://docs.google.com/spreadsheets/d/1IYY_tgx_IHuhSq3AJ5eI5OnqOPBNLWSHKh2a30DoXe8/edit?usp=sharing"",""ตรัง!J395"")"),0)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IFERROR(__xludf.DUMMYFUNCTION("IMPORTRANGE(""https://docs.google.com/spreadsheets/d/1IYY_tgx_IHuhSq3AJ5eI5OnqOPBNLWSHKh2a30DoXe8/edit?usp=sharing"",""ตรัง!I396"")"),0)</f>
        <v>0</v>
      </c>
      <c r="J501" s="166">
        <f ca="1">IFERROR(__xludf.DUMMYFUNCTION("IMPORTRANGE(""https://docs.google.com/spreadsheets/d/1IYY_tgx_IHuhSq3AJ5eI5OnqOPBNLWSHKh2a30DoXe8/edit?usp=sharing"",""ตรัง!J396"")"),0)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IFERROR(__xludf.DUMMYFUNCTION("IMPORTRANGE(""https://docs.google.com/spreadsheets/d/1IYY_tgx_IHuhSq3AJ5eI5OnqOPBNLWSHKh2a30DoXe8/edit?usp=sharing"",""ตรัง!I397"")"),0)</f>
        <v>0</v>
      </c>
      <c r="J502" s="195">
        <f ca="1">IFERROR(__xludf.DUMMYFUNCTION("IMPORTRANGE(""https://docs.google.com/spreadsheets/d/1IYY_tgx_IHuhSq3AJ5eI5OnqOPBNLWSHKh2a30DoXe8/edit?usp=sharing"",""ตรัง!J397"")"),0)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IFERROR(__xludf.DUMMYFUNCTION("IMPORTRANGE(""https://docs.google.com/spreadsheets/d/1IYY_tgx_IHuhSq3AJ5eI5OnqOPBNLWSHKh2a30DoXe8/edit?usp=sharing"",""ตรัง!I398"")"),0)</f>
        <v>0</v>
      </c>
      <c r="J503" s="204">
        <f ca="1">IFERROR(__xludf.DUMMYFUNCTION("IMPORTRANGE(""https://docs.google.com/spreadsheets/d/1IYY_tgx_IHuhSq3AJ5eI5OnqOPBNLWSHKh2a30DoXe8/edit?usp=sharing"",""ตรัง!J398"")"),0)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IFERROR(__xludf.DUMMYFUNCTION("IMPORTRANGE(""https://docs.google.com/spreadsheets/d/1IYY_tgx_IHuhSq3AJ5eI5OnqOPBNLWSHKh2a30DoXe8/edit?usp=sharing"",""ตรัง!I399"")"),0)</f>
        <v>0</v>
      </c>
      <c r="J504" s="195">
        <f ca="1">IFERROR(__xludf.DUMMYFUNCTION("IMPORTRANGE(""https://docs.google.com/spreadsheets/d/1IYY_tgx_IHuhSq3AJ5eI5OnqOPBNLWSHKh2a30DoXe8/edit?usp=sharing"",""ตรัง!J399"")"),0)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IFERROR(__xludf.DUMMYFUNCTION("IMPORTRANGE(""https://docs.google.com/spreadsheets/d/1IYY_tgx_IHuhSq3AJ5eI5OnqOPBNLWSHKh2a30DoXe8/edit?usp=sharing"",""ตรัง!I400"")"),0)</f>
        <v>0</v>
      </c>
      <c r="J505" s="204">
        <f ca="1">IFERROR(__xludf.DUMMYFUNCTION("IMPORTRANGE(""https://docs.google.com/spreadsheets/d/1IYY_tgx_IHuhSq3AJ5eI5OnqOPBNLWSHKh2a30DoXe8/edit?usp=sharing"",""ตรัง!J400"")"),0)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IFERROR(__xludf.DUMMYFUNCTION("IMPORTRANGE(""https://docs.google.com/spreadsheets/d/1IYY_tgx_IHuhSq3AJ5eI5OnqOPBNLWSHKh2a30DoXe8/edit?usp=sharing"",""ตรัง!I401"")"),0)</f>
        <v>0</v>
      </c>
      <c r="J506" s="195">
        <f ca="1">IFERROR(__xludf.DUMMYFUNCTION("IMPORTRANGE(""https://docs.google.com/spreadsheets/d/1IYY_tgx_IHuhSq3AJ5eI5OnqOPBNLWSHKh2a30DoXe8/edit?usp=sharing"",""ตรัง!J401"")"),0)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IFERROR(__xludf.DUMMYFUNCTION("IMPORTRANGE(""https://docs.google.com/spreadsheets/d/1IYY_tgx_IHuhSq3AJ5eI5OnqOPBNLWSHKh2a30DoXe8/edit?usp=sharing"",""ตรัง!I402"")"),0)</f>
        <v>0</v>
      </c>
      <c r="J507" s="204">
        <f ca="1">IFERROR(__xludf.DUMMYFUNCTION("IMPORTRANGE(""https://docs.google.com/spreadsheets/d/1IYY_tgx_IHuhSq3AJ5eI5OnqOPBNLWSHKh2a30DoXe8/edit?usp=sharing"",""ตรัง!J402"")"),0)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IFERROR(__xludf.DUMMYFUNCTION("IMPORTRANGE(""https://docs.google.com/spreadsheets/d/1IYY_tgx_IHuhSq3AJ5eI5OnqOPBNLWSHKh2a30DoXe8/edit?usp=sharing"",""ตรัง!I403"")"),0)</f>
        <v>0</v>
      </c>
      <c r="J508" s="166">
        <f ca="1">IFERROR(__xludf.DUMMYFUNCTION("IMPORTRANGE(""https://docs.google.com/spreadsheets/d/1IYY_tgx_IHuhSq3AJ5eI5OnqOPBNLWSHKh2a30DoXe8/edit?usp=sharing"",""ตรัง!J403"")"),0)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IFERROR(__xludf.DUMMYFUNCTION("IMPORTRANGE(""https://docs.google.com/spreadsheets/d/1IYY_tgx_IHuhSq3AJ5eI5OnqOPBNLWSHKh2a30DoXe8/edit?usp=sharing"",""ตรัง!I404"")"),0)</f>
        <v>0</v>
      </c>
      <c r="J509" s="166">
        <f ca="1">IFERROR(__xludf.DUMMYFUNCTION("IMPORTRANGE(""https://docs.google.com/spreadsheets/d/1IYY_tgx_IHuhSq3AJ5eI5OnqOPBNLWSHKh2a30DoXe8/edit?usp=sharing"",""ตรัง!J404"")"),0)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IFERROR(__xludf.DUMMYFUNCTION("IMPORTRANGE(""https://docs.google.com/spreadsheets/d/1IYY_tgx_IHuhSq3AJ5eI5OnqOPBNLWSHKh2a30DoXe8/edit?usp=sharing"",""ตรัง!I405"")"),0)</f>
        <v>0</v>
      </c>
      <c r="J510" s="204">
        <f ca="1">IFERROR(__xludf.DUMMYFUNCTION("IMPORTRANGE(""https://docs.google.com/spreadsheets/d/1IYY_tgx_IHuhSq3AJ5eI5OnqOPBNLWSHKh2a30DoXe8/edit?usp=sharing"",""ตรัง!J405"")"),0)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IFERROR(__xludf.DUMMYFUNCTION("IMPORTRANGE(""https://docs.google.com/spreadsheets/d/1IYY_tgx_IHuhSq3AJ5eI5OnqOPBNLWSHKh2a30DoXe8/edit?usp=sharing"",""ตรัง!I406"")"),0)</f>
        <v>0</v>
      </c>
      <c r="J511" s="204">
        <f ca="1">IFERROR(__xludf.DUMMYFUNCTION("IMPORTRANGE(""https://docs.google.com/spreadsheets/d/1IYY_tgx_IHuhSq3AJ5eI5OnqOPBNLWSHKh2a30DoXe8/edit?usp=sharing"",""ตรัง!J406"")"),0)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IFERROR(__xludf.DUMMYFUNCTION("IMPORTRANGE(""https://docs.google.com/spreadsheets/d/1IYY_tgx_IHuhSq3AJ5eI5OnqOPBNLWSHKh2a30DoXe8/edit?usp=sharing"",""ตรัง!I407"")"),0)</f>
        <v>0</v>
      </c>
      <c r="J512" s="204">
        <f ca="1">IFERROR(__xludf.DUMMYFUNCTION("IMPORTRANGE(""https://docs.google.com/spreadsheets/d/1IYY_tgx_IHuhSq3AJ5eI5OnqOPBNLWSHKh2a30DoXe8/edit?usp=sharing"",""ตรัง!J407"")"),0)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IFERROR(__xludf.DUMMYFUNCTION("IMPORTRANGE(""https://docs.google.com/spreadsheets/d/1IYY_tgx_IHuhSq3AJ5eI5OnqOPBNLWSHKh2a30DoXe8/edit?usp=sharing"",""ตรัง!I408"")"),0)</f>
        <v>0</v>
      </c>
      <c r="J513" s="204">
        <f ca="1">IFERROR(__xludf.DUMMYFUNCTION("IMPORTRANGE(""https://docs.google.com/spreadsheets/d/1IYY_tgx_IHuhSq3AJ5eI5OnqOPBNLWSHKh2a30DoXe8/edit?usp=sharing"",""ตรัง!J408"")"),0)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IFERROR(__xludf.DUMMYFUNCTION("IMPORTRANGE(""https://docs.google.com/spreadsheets/d/1IYY_tgx_IHuhSq3AJ5eI5OnqOPBNLWSHKh2a30DoXe8/edit?usp=sharing"",""ตรัง!I409"")"),0)</f>
        <v>0</v>
      </c>
      <c r="J514" s="204">
        <f ca="1">IFERROR(__xludf.DUMMYFUNCTION("IMPORTRANGE(""https://docs.google.com/spreadsheets/d/1IYY_tgx_IHuhSq3AJ5eI5OnqOPBNLWSHKh2a30DoXe8/edit?usp=sharing"",""ตรัง!J409"")"),0)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IFERROR(__xludf.DUMMYFUNCTION("IMPORTRANGE(""https://docs.google.com/spreadsheets/d/1IYY_tgx_IHuhSq3AJ5eI5OnqOPBNLWSHKh2a30DoXe8/edit?usp=sharing"",""ตรัง!I410"")"),0)</f>
        <v>0</v>
      </c>
      <c r="J515" s="204">
        <f ca="1">IFERROR(__xludf.DUMMYFUNCTION("IMPORTRANGE(""https://docs.google.com/spreadsheets/d/1IYY_tgx_IHuhSq3AJ5eI5OnqOPBNLWSHKh2a30DoXe8/edit?usp=sharing"",""ตรัง!J410"")"),0)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IFERROR(__xludf.DUMMYFUNCTION("IMPORTRANGE(""https://docs.google.com/spreadsheets/d/1IYY_tgx_IHuhSq3AJ5eI5OnqOPBNLWSHKh2a30DoXe8/edit?usp=sharing"",""ตรัง!I411"")"),0)</f>
        <v>0</v>
      </c>
      <c r="J516" s="273">
        <f ca="1">IFERROR(__xludf.DUMMYFUNCTION("IMPORTRANGE(""https://docs.google.com/spreadsheets/d/1IYY_tgx_IHuhSq3AJ5eI5OnqOPBNLWSHKh2a30DoXe8/edit?usp=sharing"",""ตรัง!J411"")"),0)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IFERROR(__xludf.DUMMYFUNCTION("IMPORTRANGE(""https://docs.google.com/spreadsheets/d/1IYY_tgx_IHuhSq3AJ5eI5OnqOPBNLWSHKh2a30DoXe8/edit?usp=sharing"",""ตรัง!I414"")"),0)</f>
        <v>0</v>
      </c>
      <c r="J519" s="194">
        <f ca="1">IFERROR(__xludf.DUMMYFUNCTION("IMPORTRANGE(""https://docs.google.com/spreadsheets/d/1IYY_tgx_IHuhSq3AJ5eI5OnqOPBNLWSHKh2a30DoXe8/edit?usp=sharing"",""ตรัง!J414"")"),0)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IFERROR(__xludf.DUMMYFUNCTION("IMPORTRANGE(""https://docs.google.com/spreadsheets/d/1IYY_tgx_IHuhSq3AJ5eI5OnqOPBNLWSHKh2a30DoXe8/edit?usp=sharing"",""ตรัง!I415"")"),0)</f>
        <v>0</v>
      </c>
      <c r="J520" s="194">
        <f ca="1">IFERROR(__xludf.DUMMYFUNCTION("IMPORTRANGE(""https://docs.google.com/spreadsheets/d/1IYY_tgx_IHuhSq3AJ5eI5OnqOPBNLWSHKh2a30DoXe8/edit?usp=sharing"",""ตรัง!J415"")"),0)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IFERROR(__xludf.DUMMYFUNCTION("IMPORTRANGE(""https://docs.google.com/spreadsheets/d/1IYY_tgx_IHuhSq3AJ5eI5OnqOPBNLWSHKh2a30DoXe8/edit?usp=sharing"",""ตรัง!I416"")"),0)</f>
        <v>0</v>
      </c>
      <c r="J521" s="194">
        <f ca="1">IFERROR(__xludf.DUMMYFUNCTION("IMPORTRANGE(""https://docs.google.com/spreadsheets/d/1IYY_tgx_IHuhSq3AJ5eI5OnqOPBNLWSHKh2a30DoXe8/edit?usp=sharing"",""ตรัง!J416"")"),0)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IFERROR(__xludf.DUMMYFUNCTION("IMPORTRANGE(""https://docs.google.com/spreadsheets/d/1IYY_tgx_IHuhSq3AJ5eI5OnqOPBNLWSHKh2a30DoXe8/edit?usp=sharing"",""ตรัง!I417"")"),0)</f>
        <v>0</v>
      </c>
      <c r="J522" s="194">
        <f ca="1">IFERROR(__xludf.DUMMYFUNCTION("IMPORTRANGE(""https://docs.google.com/spreadsheets/d/1IYY_tgx_IHuhSq3AJ5eI5OnqOPBNLWSHKh2a30DoXe8/edit?usp=sharing"",""ตรัง!J417"")"),0)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IFERROR(__xludf.DUMMYFUNCTION("IMPORTRANGE(""https://docs.google.com/spreadsheets/d/1IYY_tgx_IHuhSq3AJ5eI5OnqOPBNLWSHKh2a30DoXe8/edit?usp=sharing"",""ตรัง!I418"")"),0)</f>
        <v>0</v>
      </c>
      <c r="J523" s="194">
        <f ca="1">IFERROR(__xludf.DUMMYFUNCTION("IMPORTRANGE(""https://docs.google.com/spreadsheets/d/1IYY_tgx_IHuhSq3AJ5eI5OnqOPBNLWSHKh2a30DoXe8/edit?usp=sharing"",""ตรัง!J418"")"),15)</f>
        <v>15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IFERROR(__xludf.DUMMYFUNCTION("IMPORTRANGE(""https://docs.google.com/spreadsheets/d/1IYY_tgx_IHuhSq3AJ5eI5OnqOPBNLWSHKh2a30DoXe8/edit?usp=sharing"",""ตรัง!I419"")"),0)</f>
        <v>0</v>
      </c>
      <c r="J524" s="194">
        <f ca="1">IFERROR(__xludf.DUMMYFUNCTION("IMPORTRANGE(""https://docs.google.com/spreadsheets/d/1IYY_tgx_IHuhSq3AJ5eI5OnqOPBNLWSHKh2a30DoXe8/edit?usp=sharing"",""ตรัง!J419"")"),2)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IFERROR(__xludf.DUMMYFUNCTION("IMPORTRANGE(""https://docs.google.com/spreadsheets/d/1IYY_tgx_IHuhSq3AJ5eI5OnqOPBNLWSHKh2a30DoXe8/edit?usp=sharing"",""ตรัง!I420"")"),15)</f>
        <v>15</v>
      </c>
      <c r="J525" s="290">
        <f ca="1">IFERROR(__xludf.DUMMYFUNCTION("IMPORTRANGE(""https://docs.google.com/spreadsheets/d/1IYY_tgx_IHuhSq3AJ5eI5OnqOPBNLWSHKh2a30DoXe8/edit?usp=sharing"",""ตรัง!J420"")"),0)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IFERROR(__xludf.DUMMYFUNCTION("IMPORTRANGE(""https://docs.google.com/spreadsheets/d/1IYY_tgx_IHuhSq3AJ5eI5OnqOPBNLWSHKh2a30DoXe8/edit?usp=sharing"",""ตรัง!I421"")"),2)</f>
        <v>2</v>
      </c>
      <c r="J526" s="290">
        <f ca="1">IFERROR(__xludf.DUMMYFUNCTION("IMPORTRANGE(""https://docs.google.com/spreadsheets/d/1IYY_tgx_IHuhSq3AJ5eI5OnqOPBNLWSHKh2a30DoXe8/edit?usp=sharing"",""ตรัง!J421"")"),0)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IFERROR(__xludf.DUMMYFUNCTION("IMPORTRANGE(""https://docs.google.com/spreadsheets/d/1IYY_tgx_IHuhSq3AJ5eI5OnqOPBNLWSHKh2a30DoXe8/edit?usp=sharing"",""ตรัง!I422"")"),0)</f>
        <v>0</v>
      </c>
      <c r="J527" s="204">
        <f ca="1">IFERROR(__xludf.DUMMYFUNCTION("IMPORTRANGE(""https://docs.google.com/spreadsheets/d/1IYY_tgx_IHuhSq3AJ5eI5OnqOPBNLWSHKh2a30DoXe8/edit?usp=sharing"",""ตรัง!J422"")"),0)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IFERROR(__xludf.DUMMYFUNCTION("IMPORTRANGE(""https://docs.google.com/spreadsheets/d/1IYY_tgx_IHuhSq3AJ5eI5OnqOPBNLWSHKh2a30DoXe8/edit?usp=sharing"",""ตรัง!I423"")"),0)</f>
        <v>0</v>
      </c>
      <c r="J528" s="204">
        <f ca="1">IFERROR(__xludf.DUMMYFUNCTION("IMPORTRANGE(""https://docs.google.com/spreadsheets/d/1IYY_tgx_IHuhSq3AJ5eI5OnqOPBNLWSHKh2a30DoXe8/edit?usp=sharing"",""ตรัง!J423"")"),0)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IFERROR(__xludf.DUMMYFUNCTION("IMPORTRANGE(""https://docs.google.com/spreadsheets/d/1IYY_tgx_IHuhSq3AJ5eI5OnqOPBNLWSHKh2a30DoXe8/edit?usp=sharing"",""ตรัง!I424"")"),0)</f>
        <v>0</v>
      </c>
      <c r="J529" s="204">
        <f ca="1">IFERROR(__xludf.DUMMYFUNCTION("IMPORTRANGE(""https://docs.google.com/spreadsheets/d/1IYY_tgx_IHuhSq3AJ5eI5OnqOPBNLWSHKh2a30DoXe8/edit?usp=sharing"",""ตรัง!J424"")"),0)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IFERROR(__xludf.DUMMYFUNCTION("IMPORTRANGE(""https://docs.google.com/spreadsheets/d/1IYY_tgx_IHuhSq3AJ5eI5OnqOPBNLWSHKh2a30DoXe8/edit?usp=sharing"",""ตรัง!I425"")"),0)</f>
        <v>0</v>
      </c>
      <c r="J530" s="204">
        <f ca="1">IFERROR(__xludf.DUMMYFUNCTION("IMPORTRANGE(""https://docs.google.com/spreadsheets/d/1IYY_tgx_IHuhSq3AJ5eI5OnqOPBNLWSHKh2a30DoXe8/edit?usp=sharing"",""ตรัง!J425"")"),0)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IFERROR(__xludf.DUMMYFUNCTION("IMPORTRANGE(""https://docs.google.com/spreadsheets/d/1IYY_tgx_IHuhSq3AJ5eI5OnqOPBNLWSHKh2a30DoXe8/edit?usp=sharing"",""ตรัง!I426"")"),0)</f>
        <v>0</v>
      </c>
      <c r="J531" s="204">
        <f ca="1">IFERROR(__xludf.DUMMYFUNCTION("IMPORTRANGE(""https://docs.google.com/spreadsheets/d/1IYY_tgx_IHuhSq3AJ5eI5OnqOPBNLWSHKh2a30DoXe8/edit?usp=sharing"",""ตรัง!J426"")"),0)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IFERROR(__xludf.DUMMYFUNCTION("IMPORTRANGE(""https://docs.google.com/spreadsheets/d/1IYY_tgx_IHuhSq3AJ5eI5OnqOPBNLWSHKh2a30DoXe8/edit?usp=sharing"",""ตรัง!M428"")"),21539.48)</f>
        <v>21539.48</v>
      </c>
      <c r="O533" s="418">
        <f t="shared" ref="O533:O537" ca="1" si="118">+IF(L533&gt;0,N533*100/L533,0)</f>
        <v>62.724170064065227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IFERROR(__xludf.DUMMYFUNCTION("IMPORTRANGE(""https://docs.google.com/spreadsheets/d/1IYY_tgx_IHuhSq3AJ5eI5OnqOPBNLWSHKh2a30DoXe8/edit?usp=sharing"",""ตรัง!L429"")"),0)</f>
        <v>0</v>
      </c>
      <c r="M534" s="168"/>
      <c r="N534" s="175">
        <f ca="1">IFERROR(__xludf.DUMMYFUNCTION("IMPORTRANGE(""https://docs.google.com/spreadsheets/d/1IYY_tgx_IHuhSq3AJ5eI5OnqOPBNLWSHKh2a30DoXe8/edit?usp=sharing"",""ตรัง!M429"")"),0)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5">
        <f ca="1">IFERROR(__xludf.DUMMYFUNCTION("IMPORTRANGE(""https://docs.google.com/spreadsheets/d/1IYY_tgx_IHuhSq3AJ5eI5OnqOPBNLWSHKh2a30DoXe8/edit?usp=sharing"",""ตรัง!M430"")"),21539.48)</f>
        <v>21539.48</v>
      </c>
      <c r="O535" s="175">
        <f t="shared" ca="1" si="118"/>
        <v>62.724170064065227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IFERROR(__xludf.DUMMYFUNCTION("IMPORTRANGE(""https://docs.google.com/spreadsheets/d/1IYY_tgx_IHuhSq3AJ5eI5OnqOPBNLWSHKh2a30DoXe8/edit?usp=sharing"",""ตรัง!L431"")"),0)</f>
        <v>0</v>
      </c>
      <c r="M536" s="175"/>
      <c r="N536" s="175">
        <f ca="1">IFERROR(__xludf.DUMMYFUNCTION("IMPORTRANGE(""https://docs.google.com/spreadsheets/d/1IYY_tgx_IHuhSq3AJ5eI5OnqOPBNLWSHKh2a30DoXe8/edit?usp=sharing"",""ตรัง!M431"")"),0)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IFERROR(__xludf.DUMMYFUNCTION("IMPORTRANGE(""https://docs.google.com/spreadsheets/d/1IYY_tgx_IHuhSq3AJ5eI5OnqOPBNLWSHKh2a30DoXe8/edit?usp=sharing"",""ตรัง!L432"")"),34340)</f>
        <v>34340</v>
      </c>
      <c r="M537" s="175"/>
      <c r="N537" s="175">
        <f ca="1">IFERROR(__xludf.DUMMYFUNCTION("IMPORTRANGE(""https://docs.google.com/spreadsheets/d/1IYY_tgx_IHuhSq3AJ5eI5OnqOPBNLWSHKh2a30DoXe8/edit?usp=sharing"",""ตรัง!M432"")"),21539.48)</f>
        <v>21539.48</v>
      </c>
      <c r="O537" s="175">
        <f t="shared" ca="1" si="118"/>
        <v>62.724170064065227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IFERROR(__xludf.DUMMYFUNCTION("IMPORTRANGE(""https://docs.google.com/spreadsheets/d/1IYY_tgx_IHuhSq3AJ5eI5OnqOPBNLWSHKh2a30DoXe8/edit?usp=sharing"",""ตรัง!M434"")"),0)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IFERROR(__xludf.DUMMYFUNCTION("IMPORTRANGE(""https://docs.google.com/spreadsheets/d/1IYY_tgx_IHuhSq3AJ5eI5OnqOPBNLWSHKh2a30DoXe8/edit?usp=sharing"",""ตรัง!J438"")"),0)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IFERROR(__xludf.DUMMYFUNCTION("IMPORTRANGE(""https://docs.google.com/spreadsheets/d/1IYY_tgx_IHuhSq3AJ5eI5OnqOPBNLWSHKh2a30DoXe8/edit?usp=sharing"",""ตรัง!J439"")"),1)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IFERROR(__xludf.DUMMYFUNCTION("IMPORTRANGE(""https://docs.google.com/spreadsheets/d/1IYY_tgx_IHuhSq3AJ5eI5OnqOPBNLWSHKh2a30DoXe8/edit?usp=sharing"",""ตรัง!J440"")"),1)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IFERROR(__xludf.DUMMYFUNCTION("IMPORTRANGE(""https://docs.google.com/spreadsheets/d/1IYY_tgx_IHuhSq3AJ5eI5OnqOPBNLWSHKh2a30DoXe8/edit?usp=sharing"",""ตรัง!J441"")"),1)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IFERROR(__xludf.DUMMYFUNCTION("IMPORTRANGE(""https://docs.google.com/spreadsheets/d/1IYY_tgx_IHuhSq3AJ5eI5OnqOPBNLWSHKh2a30DoXe8/edit?usp=sharing"",""ตรัง!I442"")"),22)</f>
        <v>22</v>
      </c>
      <c r="J547" s="195">
        <f ca="1">IFERROR(__xludf.DUMMYFUNCTION("IMPORTRANGE(""https://docs.google.com/spreadsheets/d/1IYY_tgx_IHuhSq3AJ5eI5OnqOPBNLWSHKh2a30DoXe8/edit?usp=sharing"",""ตรัง!J442"")"),22)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IFERROR(__xludf.DUMMYFUNCTION("IMPORTRANGE(""https://docs.google.com/spreadsheets/d/1IYY_tgx_IHuhSq3AJ5eI5OnqOPBNLWSHKh2a30DoXe8/edit?usp=sharing"",""ตรัง!J166"")"),0)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IFERROR(__xludf.DUMMYFUNCTION("IMPORTRANGE(""https://docs.google.com/spreadsheets/d/1IYY_tgx_IHuhSq3AJ5eI5OnqOPBNLWSHKh2a30DoXe8/edit?usp=sharing"",""ตรัง!J444"")"),0)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IFERROR(__xludf.DUMMYFUNCTION("IMPORTRANGE(""https://docs.google.com/spreadsheets/d/1IYY_tgx_IHuhSq3AJ5eI5OnqOPBNLWSHKh2a30DoXe8/edit?usp=sharing"",""ตรัง!L447"")"),0)</f>
        <v>0</v>
      </c>
      <c r="M552" s="168"/>
      <c r="N552" s="175">
        <f ca="1">IFERROR(__xludf.DUMMYFUNCTION("IMPORTRANGE(""https://docs.google.com/spreadsheets/d/1IYY_tgx_IHuhSq3AJ5eI5OnqOPBNLWSHKh2a30DoXe8/edit?usp=sharing"",""ตรัง!M447"")"),0)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5">
        <f ca="1">IFERROR(__xludf.DUMMYFUNCTION("IMPORTRANGE(""https://docs.google.com/spreadsheets/d/1IYY_tgx_IHuhSq3AJ5eI5OnqOPBNLWSHKh2a30DoXe8/edit?usp=sharing"",""ตรัง!M448"")"),0)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IFERROR(__xludf.DUMMYFUNCTION("IMPORTRANGE(""https://docs.google.com/spreadsheets/d/1IYY_tgx_IHuhSq3AJ5eI5OnqOPBNLWSHKh2a30DoXe8/edit?usp=sharing"",""ตรัง!L449"")"),0)</f>
        <v>0</v>
      </c>
      <c r="M554" s="175"/>
      <c r="N554" s="175">
        <f ca="1">IFERROR(__xludf.DUMMYFUNCTION("IMPORTRANGE(""https://docs.google.com/spreadsheets/d/1IYY_tgx_IHuhSq3AJ5eI5OnqOPBNLWSHKh2a30DoXe8/edit?usp=sharing"",""ตรัง!M449"")"),0)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IFERROR(__xludf.DUMMYFUNCTION("IMPORTRANGE(""https://docs.google.com/spreadsheets/d/1IYY_tgx_IHuhSq3AJ5eI5OnqOPBNLWSHKh2a30DoXe8/edit?usp=sharing"",""ตรัง!L450"")"),0)</f>
        <v>0</v>
      </c>
      <c r="M555" s="175"/>
      <c r="N555" s="175">
        <f ca="1">IFERROR(__xludf.DUMMYFUNCTION("IMPORTRANGE(""https://docs.google.com/spreadsheets/d/1IYY_tgx_IHuhSq3AJ5eI5OnqOPBNLWSHKh2a30DoXe8/edit?usp=sharing"",""ตรัง!M450"")"),0)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IFERROR(__xludf.DUMMYFUNCTION("IMPORTRANGE(""https://docs.google.com/spreadsheets/d/1IYY_tgx_IHuhSq3AJ5eI5OnqOPBNLWSHKh2a30DoXe8/edit?usp=sharing"",""ตรัง!M451"")"),0)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IFERROR(__xludf.DUMMYFUNCTION("IMPORTRANGE(""https://docs.google.com/spreadsheets/d/1IYY_tgx_IHuhSq3AJ5eI5OnqOPBNLWSHKh2a30DoXe8/edit?usp=sharing"",""ตรัง!M452"")"),0)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IFERROR(__xludf.DUMMYFUNCTION("IMPORTRANGE(""https://docs.google.com/spreadsheets/d/1IYY_tgx_IHuhSq3AJ5eI5OnqOPBNLWSHKh2a30DoXe8/edit?usp=sharing"",""ตรัง!M453"")"),0)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IFERROR(__xludf.DUMMYFUNCTION("IMPORTRANGE(""https://docs.google.com/spreadsheets/d/1IYY_tgx_IHuhSq3AJ5eI5OnqOPBNLWSHKh2a30DoXe8/edit?usp=sharing"",""ตรัง!M454"")"),0)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IFERROR(__xludf.DUMMYFUNCTION("IMPORTRANGE(""https://docs.google.com/spreadsheets/d/1IYY_tgx_IHuhSq3AJ5eI5OnqOPBNLWSHKh2a30DoXe8/edit?usp=sharing"",""ตรัง!I455"")"),0)</f>
        <v>0</v>
      </c>
      <c r="J560" s="166">
        <f ca="1">IFERROR(__xludf.DUMMYFUNCTION("IMPORTRANGE(""https://docs.google.com/spreadsheets/d/1IYY_tgx_IHuhSq3AJ5eI5OnqOPBNLWSHKh2a30DoXe8/edit?usp=sharing"",""ตรัง!J455"")"),0)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IFERROR(__xludf.DUMMYFUNCTION("IMPORTRANGE(""https://docs.google.com/spreadsheets/d/1IYY_tgx_IHuhSq3AJ5eI5OnqOPBNLWSHKh2a30DoXe8/edit?usp=sharing"",""ตรัง!I456"")"),0)</f>
        <v>0</v>
      </c>
      <c r="J561" s="210">
        <f ca="1">IFERROR(__xludf.DUMMYFUNCTION("IMPORTRANGE(""https://docs.google.com/spreadsheets/d/1IYY_tgx_IHuhSq3AJ5eI5OnqOPBNLWSHKh2a30DoXe8/edit?usp=sharing"",""ตรัง!J456"")"),0)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IFERROR(__xludf.DUMMYFUNCTION("IMPORTRANGE(""https://docs.google.com/spreadsheets/d/1IYY_tgx_IHuhSq3AJ5eI5OnqOPBNLWSHKh2a30DoXe8/edit?usp=sharing"",""ตรัง!J459"")"),3411)</f>
        <v>3411</v>
      </c>
      <c r="K564" s="378">
        <f ca="1">IF(I564&gt;0,J564*100/I564,0)</f>
        <v>341.1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IFERROR(__xludf.DUMMYFUNCTION("IMPORTRANGE(""https://docs.google.com/spreadsheets/d/1IYY_tgx_IHuhSq3AJ5eI5OnqOPBNLWSHKh2a30DoXe8/edit?usp=sharing"",""ตรัง!M459"")"),115197.6)</f>
        <v>115197.6</v>
      </c>
      <c r="O564" s="379">
        <f t="shared" ref="O564:O568" ca="1" si="122">+IF(L564&gt;0,N564*100/L564,0)</f>
        <v>93.870273794002614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IFERROR(__xludf.DUMMYFUNCTION("IMPORTRANGE(""https://docs.google.com/spreadsheets/d/1IYY_tgx_IHuhSq3AJ5eI5OnqOPBNLWSHKh2a30DoXe8/edit?usp=sharing"",""ตรัง!L460"")"),0)</f>
        <v>0</v>
      </c>
      <c r="M565" s="168"/>
      <c r="N565" s="175">
        <f ca="1">IFERROR(__xludf.DUMMYFUNCTION("IMPORTRANGE(""https://docs.google.com/spreadsheets/d/1IYY_tgx_IHuhSq3AJ5eI5OnqOPBNLWSHKh2a30DoXe8/edit?usp=sharing"",""ตรัง!M460"")"),0)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5">
        <f ca="1">IFERROR(__xludf.DUMMYFUNCTION("IMPORTRANGE(""https://docs.google.com/spreadsheets/d/1IYY_tgx_IHuhSq3AJ5eI5OnqOPBNLWSHKh2a30DoXe8/edit?usp=sharing"",""ตรัง!M461"")"),115197.6)</f>
        <v>115197.6</v>
      </c>
      <c r="O566" s="175">
        <f t="shared" ca="1" si="122"/>
        <v>93.870273794002614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IFERROR(__xludf.DUMMYFUNCTION("IMPORTRANGE(""https://docs.google.com/spreadsheets/d/1IYY_tgx_IHuhSq3AJ5eI5OnqOPBNLWSHKh2a30DoXe8/edit?usp=sharing"",""ตรัง!L462"")"),0)</f>
        <v>0</v>
      </c>
      <c r="M567" s="175"/>
      <c r="N567" s="175">
        <f ca="1">IFERROR(__xludf.DUMMYFUNCTION("IMPORTRANGE(""https://docs.google.com/spreadsheets/d/1IYY_tgx_IHuhSq3AJ5eI5OnqOPBNLWSHKh2a30DoXe8/edit?usp=sharing"",""ตรัง!M462"")"),0)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IFERROR(__xludf.DUMMYFUNCTION("IMPORTRANGE(""https://docs.google.com/spreadsheets/d/1IYY_tgx_IHuhSq3AJ5eI5OnqOPBNLWSHKh2a30DoXe8/edit?usp=sharing"",""ตรัง!L463"")"),122720)</f>
        <v>122720</v>
      </c>
      <c r="M568" s="175"/>
      <c r="N568" s="175">
        <f ca="1">IFERROR(__xludf.DUMMYFUNCTION("IMPORTRANGE(""https://docs.google.com/spreadsheets/d/1IYY_tgx_IHuhSq3AJ5eI5OnqOPBNLWSHKh2a30DoXe8/edit?usp=sharing"",""ตรัง!M463"")"),115197.6)</f>
        <v>115197.6</v>
      </c>
      <c r="O568" s="175">
        <f t="shared" ca="1" si="122"/>
        <v>93.870273794002614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IFERROR(__xludf.DUMMYFUNCTION("IMPORTRANGE(""https://docs.google.com/spreadsheets/d/1IYY_tgx_IHuhSq3AJ5eI5OnqOPBNLWSHKh2a30DoXe8/edit?usp=sharing"",""ตรัง!M464"")"),0)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IFERROR(__xludf.DUMMYFUNCTION("IMPORTRANGE(""https://docs.google.com/spreadsheets/d/1IYY_tgx_IHuhSq3AJ5eI5OnqOPBNLWSHKh2a30DoXe8/edit?usp=sharing"",""ตรัง!M465"")"),0)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IFERROR(__xludf.DUMMYFUNCTION("IMPORTRANGE(""https://docs.google.com/spreadsheets/d/1IYY_tgx_IHuhSq3AJ5eI5OnqOPBNLWSHKh2a30DoXe8/edit?usp=sharing"",""ตรัง!M466"")"),96788)</f>
        <v>96788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IFERROR(__xludf.DUMMYFUNCTION("IMPORTRANGE(""https://docs.google.com/spreadsheets/d/1IYY_tgx_IHuhSq3AJ5eI5OnqOPBNLWSHKh2a30DoXe8/edit?usp=sharing"",""ตรัง!M467"")"),18409.6)</f>
        <v>18409.599999999999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IFERROR(__xludf.DUMMYFUNCTION("IMPORTRANGE(""https://docs.google.com/spreadsheets/d/1IYY_tgx_IHuhSq3AJ5eI5OnqOPBNLWSHKh2a30DoXe8/edit?usp=sharing"",""ตรัง!J468"")"),3411)</f>
        <v>3411</v>
      </c>
      <c r="K573" s="208">
        <f ca="1">IF(I573&gt;0,J573*100/I573,0)</f>
        <v>341.1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IFERROR(__xludf.DUMMYFUNCTION("IMPORTRANGE(""https://docs.google.com/spreadsheets/d/1IYY_tgx_IHuhSq3AJ5eI5OnqOPBNLWSHKh2a30DoXe8/edit?usp=sharing"",""ตรัง!I470"")"),0)</f>
        <v>0</v>
      </c>
      <c r="J575" s="204">
        <f ca="1">IFERROR(__xludf.DUMMYFUNCTION("IMPORTRANGE(""https://docs.google.com/spreadsheets/d/1IYY_tgx_IHuhSq3AJ5eI5OnqOPBNLWSHKh2a30DoXe8/edit?usp=sharing"",""ตรัง!J470"")"),3)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IFERROR(__xludf.DUMMYFUNCTION("IMPORTRANGE(""https://docs.google.com/spreadsheets/d/1IYY_tgx_IHuhSq3AJ5eI5OnqOPBNLWSHKh2a30DoXe8/edit?usp=sharing"",""ตรัง!I471"")"),0)</f>
        <v>0</v>
      </c>
      <c r="J576" s="204">
        <f ca="1">IFERROR(__xludf.DUMMYFUNCTION("IMPORTRANGE(""https://docs.google.com/spreadsheets/d/1IYY_tgx_IHuhSq3AJ5eI5OnqOPBNLWSHKh2a30DoXe8/edit?usp=sharing"",""ตรัง!J471"")"),143)</f>
        <v>143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IFERROR(__xludf.DUMMYFUNCTION("IMPORTRANGE(""https://docs.google.com/spreadsheets/d/1IYY_tgx_IHuhSq3AJ5eI5OnqOPBNLWSHKh2a30DoXe8/edit?usp=sharing"",""ตรัง!I472"")"),0)</f>
        <v>0</v>
      </c>
      <c r="J577" s="195">
        <f ca="1">IFERROR(__xludf.DUMMYFUNCTION("IMPORTRANGE(""https://docs.google.com/spreadsheets/d/1IYY_tgx_IHuhSq3AJ5eI5OnqOPBNLWSHKh2a30DoXe8/edit?usp=sharing"",""ตรัง!J472"")"),3268)</f>
        <v>3268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IFERROR(__xludf.DUMMYFUNCTION("IMPORTRANGE(""https://docs.google.com/spreadsheets/d/1IYY_tgx_IHuhSq3AJ5eI5OnqOPBNLWSHKh2a30DoXe8/edit?usp=sharing"",""ตรัง!I473"")"),0)</f>
        <v>0</v>
      </c>
      <c r="J578" s="204">
        <f ca="1">IFERROR(__xludf.DUMMYFUNCTION("IMPORTRANGE(""https://docs.google.com/spreadsheets/d/1IYY_tgx_IHuhSq3AJ5eI5OnqOPBNLWSHKh2a30DoXe8/edit?usp=sharing"",""ตรัง!J473"")"),0)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IFERROR(__xludf.DUMMYFUNCTION("IMPORTRANGE(""https://docs.google.com/spreadsheets/d/1IYY_tgx_IHuhSq3AJ5eI5OnqOPBNLWSHKh2a30DoXe8/edit?usp=sharing"",""ตรัง!I474"")"),0)</f>
        <v>0</v>
      </c>
      <c r="J579" s="204">
        <f ca="1">IFERROR(__xludf.DUMMYFUNCTION("IMPORTRANGE(""https://docs.google.com/spreadsheets/d/1IYY_tgx_IHuhSq3AJ5eI5OnqOPBNLWSHKh2a30DoXe8/edit?usp=sharing"",""ตรัง!J474"")"),0)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IFERROR(__xludf.DUMMYFUNCTION("IMPORTRANGE(""https://docs.google.com/spreadsheets/d/1IYY_tgx_IHuhSq3AJ5eI5OnqOPBNLWSHKh2a30DoXe8/edit?usp=sharing"",""ตรัง!L476"")"),0)</f>
        <v>0</v>
      </c>
      <c r="M581" s="168"/>
      <c r="N581" s="175">
        <f ca="1">IFERROR(__xludf.DUMMYFUNCTION("IMPORTRANGE(""https://docs.google.com/spreadsheets/d/1IYY_tgx_IHuhSq3AJ5eI5OnqOPBNLWSHKh2a30DoXe8/edit?usp=sharing"",""ตรัง!M476"")"),0)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5">
        <f ca="1">IFERROR(__xludf.DUMMYFUNCTION("IMPORTRANGE(""https://docs.google.com/spreadsheets/d/1IYY_tgx_IHuhSq3AJ5eI5OnqOPBNLWSHKh2a30DoXe8/edit?usp=sharing"",""ตรัง!M477"")"),0)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IFERROR(__xludf.DUMMYFUNCTION("IMPORTRANGE(""https://docs.google.com/spreadsheets/d/1IYY_tgx_IHuhSq3AJ5eI5OnqOPBNLWSHKh2a30DoXe8/edit?usp=sharing"",""ตรัง!L478"")"),0)</f>
        <v>0</v>
      </c>
      <c r="M583" s="175"/>
      <c r="N583" s="175">
        <f ca="1">IFERROR(__xludf.DUMMYFUNCTION("IMPORTRANGE(""https://docs.google.com/spreadsheets/d/1IYY_tgx_IHuhSq3AJ5eI5OnqOPBNLWSHKh2a30DoXe8/edit?usp=sharing"",""ตรัง!M478"")"),0)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IFERROR(__xludf.DUMMYFUNCTION("IMPORTRANGE(""https://docs.google.com/spreadsheets/d/1IYY_tgx_IHuhSq3AJ5eI5OnqOPBNLWSHKh2a30DoXe8/edit?usp=sharing"",""ตรัง!L479"")"),0)</f>
        <v>0</v>
      </c>
      <c r="M584" s="175"/>
      <c r="N584" s="175">
        <f ca="1">IFERROR(__xludf.DUMMYFUNCTION("IMPORTRANGE(""https://docs.google.com/spreadsheets/d/1IYY_tgx_IHuhSq3AJ5eI5OnqOPBNLWSHKh2a30DoXe8/edit?usp=sharing"",""ตรัง!M479"")"),0)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IFERROR(__xludf.DUMMYFUNCTION("IMPORTRANGE(""https://docs.google.com/spreadsheets/d/1IYY_tgx_IHuhSq3AJ5eI5OnqOPBNLWSHKh2a30DoXe8/edit?usp=sharing"",""ตรัง!M480"")"),0)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IFERROR(__xludf.DUMMYFUNCTION("IMPORTRANGE(""https://docs.google.com/spreadsheets/d/1IYY_tgx_IHuhSq3AJ5eI5OnqOPBNLWSHKh2a30DoXe8/edit?usp=sharing"",""ตรัง!M481"")"),0)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IFERROR(__xludf.DUMMYFUNCTION("IMPORTRANGE(""https://docs.google.com/spreadsheets/d/1IYY_tgx_IHuhSq3AJ5eI5OnqOPBNLWSHKh2a30DoXe8/edit?usp=sharing"",""ตรัง!M482"")"),0)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IFERROR(__xludf.DUMMYFUNCTION("IMPORTRANGE(""https://docs.google.com/spreadsheets/d/1IYY_tgx_IHuhSq3AJ5eI5OnqOPBNLWSHKh2a30DoXe8/edit?usp=sharing"",""ตรัง!M483"")"),0)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4">
        <f ca="1">IFERROR(__xludf.DUMMYFUNCTION("IMPORTRANGE(""https://docs.google.com/spreadsheets/d/1IYY_tgx_IHuhSq3AJ5eI5OnqOPBNLWSHKh2a30DoXe8/edit?usp=sharing"",""ตรัง!J484"")"),0)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4">
        <f ca="1">IFERROR(__xludf.DUMMYFUNCTION("IMPORTRANGE(""https://docs.google.com/spreadsheets/d/1IYY_tgx_IHuhSq3AJ5eI5OnqOPBNLWSHKh2a30DoXe8/edit?usp=sharing"",""ตรัง!J485"")"),0)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4">
        <f ca="1">IFERROR(__xludf.DUMMYFUNCTION("IMPORTRANGE(""https://docs.google.com/spreadsheets/d/1IYY_tgx_IHuhSq3AJ5eI5OnqOPBNLWSHKh2a30DoXe8/edit?usp=sharing"",""ตรัง!J486"")"),0)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4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4">
        <f ca="1">IFERROR(__xludf.DUMMYFUNCTION("IMPORTRANGE(""https://docs.google.com/spreadsheets/d/1IYY_tgx_IHuhSq3AJ5eI5OnqOPBNLWSHKh2a30DoXe8/edit?usp=sharing"",""ตรัง!J488"")"),0)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4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4">
        <f ca="1">IFERROR(__xludf.DUMMYFUNCTION("IMPORTRANGE(""https://docs.google.com/spreadsheets/d/1IYY_tgx_IHuhSq3AJ5eI5OnqOPBNLWSHKh2a30DoXe8/edit?usp=sharing"",""ตรัง!J490"")"),0)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IFERROR(__xludf.DUMMYFUNCTION("IMPORTRANGE(""https://docs.google.com/spreadsheets/d/1IYY_tgx_IHuhSq3AJ5eI5OnqOPBNLWSHKh2a30DoXe8/edit?usp=sharing"",""ตรัง!I491"")"),0)</f>
        <v>0</v>
      </c>
      <c r="J596" s="247">
        <f ca="1">IFERROR(__xludf.DUMMYFUNCTION("IMPORTRANGE(""https://docs.google.com/spreadsheets/d/1IYY_tgx_IHuhSq3AJ5eI5OnqOPBNLWSHKh2a30DoXe8/edit?usp=sharing"",""ตรัง!J491"")"),0)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4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IFERROR(__xludf.DUMMYFUNCTION("IMPORTRANGE(""https://docs.google.com/spreadsheets/d/1IYY_tgx_IHuhSq3AJ5eI5OnqOPBNLWSHKh2a30DoXe8/edit?usp=sharing"",""ตรัง!L492"")"),11750)</f>
        <v>11750</v>
      </c>
      <c r="M597" s="418"/>
      <c r="N597" s="418">
        <f ca="1">IFERROR(__xludf.DUMMYFUNCTION("IMPORTRANGE(""https://docs.google.com/spreadsheets/d/1IYY_tgx_IHuhSq3AJ5eI5OnqOPBNLWSHKh2a30DoXe8/edit?usp=sharing"",""ตรัง!M492"")"),6196.84)</f>
        <v>6196.84</v>
      </c>
      <c r="O597" s="418">
        <f t="shared" ref="O597:O601" ca="1" si="126">+IF(L597&gt;0,N597*100/L597,0)</f>
        <v>52.739063829787234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IFERROR(__xludf.DUMMYFUNCTION("IMPORTRANGE(""https://docs.google.com/spreadsheets/d/1IYY_tgx_IHuhSq3AJ5eI5OnqOPBNLWSHKh2a30DoXe8/edit?usp=sharing"",""ตรัง!L493"")"),0)</f>
        <v>0</v>
      </c>
      <c r="M598" s="168"/>
      <c r="N598" s="175">
        <f ca="1">IFERROR(__xludf.DUMMYFUNCTION("IMPORTRANGE(""https://docs.google.com/spreadsheets/d/1IYY_tgx_IHuhSq3AJ5eI5OnqOPBNLWSHKh2a30DoXe8/edit?usp=sharing"",""ตรัง!M493"")"),0)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IFERROR(__xludf.DUMMYFUNCTION("IMPORTRANGE(""https://docs.google.com/spreadsheets/d/1IYY_tgx_IHuhSq3AJ5eI5OnqOPBNLWSHKh2a30DoXe8/edit?usp=sharing"",""ตรัง!L494"")"),11750)</f>
        <v>11750</v>
      </c>
      <c r="M599" s="169"/>
      <c r="N599" s="175">
        <f ca="1">IFERROR(__xludf.DUMMYFUNCTION("IMPORTRANGE(""https://docs.google.com/spreadsheets/d/1IYY_tgx_IHuhSq3AJ5eI5OnqOPBNLWSHKh2a30DoXe8/edit?usp=sharing"",""ตรัง!M494"")"),6196.84)</f>
        <v>6196.84</v>
      </c>
      <c r="O599" s="175">
        <f t="shared" ca="1" si="126"/>
        <v>52.739063829787234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IFERROR(__xludf.DUMMYFUNCTION("IMPORTRANGE(""https://docs.google.com/spreadsheets/d/1IYY_tgx_IHuhSq3AJ5eI5OnqOPBNLWSHKh2a30DoXe8/edit?usp=sharing"",""ตรัง!L495"")"),0)</f>
        <v>0</v>
      </c>
      <c r="M600" s="175"/>
      <c r="N600" s="175">
        <f ca="1">IFERROR(__xludf.DUMMYFUNCTION("IMPORTRANGE(""https://docs.google.com/spreadsheets/d/1IYY_tgx_IHuhSq3AJ5eI5OnqOPBNLWSHKh2a30DoXe8/edit?usp=sharing"",""ตรัง!M495"")"),0)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IFERROR(__xludf.DUMMYFUNCTION("IMPORTRANGE(""https://docs.google.com/spreadsheets/d/1IYY_tgx_IHuhSq3AJ5eI5OnqOPBNLWSHKh2a30DoXe8/edit?usp=sharing"",""ตรัง!L496"")"),11750)</f>
        <v>11750</v>
      </c>
      <c r="M601" s="175"/>
      <c r="N601" s="175">
        <f ca="1">IFERROR(__xludf.DUMMYFUNCTION("IMPORTRANGE(""https://docs.google.com/spreadsheets/d/1IYY_tgx_IHuhSq3AJ5eI5OnqOPBNLWSHKh2a30DoXe8/edit?usp=sharing"",""ตรัง!M496"")"),6196.84)</f>
        <v>6196.84</v>
      </c>
      <c r="O601" s="175">
        <f t="shared" ca="1" si="126"/>
        <v>52.739063829787234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IFERROR(__xludf.DUMMYFUNCTION("IMPORTRANGE(""https://docs.google.com/spreadsheets/d/1IYY_tgx_IHuhSq3AJ5eI5OnqOPBNLWSHKh2a30DoXe8/edit?usp=sharing"",""ตรัง!M497"")"),0)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IFERROR(__xludf.DUMMYFUNCTION("IMPORTRANGE(""https://docs.google.com/spreadsheets/d/1IYY_tgx_IHuhSq3AJ5eI5OnqOPBNLWSHKh2a30DoXe8/edit?usp=sharing"",""ตรัง!M498"")"),0)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IFERROR(__xludf.DUMMYFUNCTION("IMPORTRANGE(""https://docs.google.com/spreadsheets/d/1IYY_tgx_IHuhSq3AJ5eI5OnqOPBNLWSHKh2a30DoXe8/edit?usp=sharing"",""ตรัง!M500"")"),6196.84)</f>
        <v>6196.84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IFERROR(__xludf.DUMMYFUNCTION("IMPORTRANGE(""https://docs.google.com/spreadsheets/d/1IYY_tgx_IHuhSq3AJ5eI5OnqOPBNLWSHKh2a30DoXe8/edit?usp=sharing"",""ตรัง!J502"")"),0)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IFERROR(__xludf.DUMMYFUNCTION("IMPORTRANGE(""https://docs.google.com/spreadsheets/d/1IYY_tgx_IHuhSq3AJ5eI5OnqOPBNLWSHKh2a30DoXe8/edit?usp=sharing"",""ตรัง!J503"")"),1)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IFERROR(__xludf.DUMMYFUNCTION("IMPORTRANGE(""https://docs.google.com/spreadsheets/d/1IYY_tgx_IHuhSq3AJ5eI5OnqOPBNLWSHKh2a30DoXe8/edit?usp=sharing"",""ตรัง!J166"")"),0)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IFERROR(__xludf.DUMMYFUNCTION("IMPORTRANGE(""https://docs.google.com/spreadsheets/d/1IYY_tgx_IHuhSq3AJ5eI5OnqOPBNLWSHKh2a30DoXe8/edit?usp=sharing"",""ตรัง!J166"")"),0)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IFERROR(__xludf.DUMMYFUNCTION("IMPORTRANGE(""https://docs.google.com/spreadsheets/d/1IYY_tgx_IHuhSq3AJ5eI5OnqOPBNLWSHKh2a30DoXe8/edit?usp=sharing"",""ตรัง!I506"")"),50)</f>
        <v>50</v>
      </c>
      <c r="J611" s="166">
        <f ca="1">IFERROR(__xludf.DUMMYFUNCTION("IMPORTRANGE(""https://docs.google.com/spreadsheets/d/1IYY_tgx_IHuhSq3AJ5eI5OnqOPBNLWSHKh2a30DoXe8/edit?usp=sharing"",""ตรัง!J506"")"),0)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IFERROR(__xludf.DUMMYFUNCTION("IMPORTRANGE(""https://docs.google.com/spreadsheets/d/1IYY_tgx_IHuhSq3AJ5eI5OnqOPBNLWSHKh2a30DoXe8/edit?usp=sharing"",""ตรัง!I507"")"),0)</f>
        <v>0</v>
      </c>
      <c r="J612" s="204">
        <f ca="1">IFERROR(__xludf.DUMMYFUNCTION("IMPORTRANGE(""https://docs.google.com/spreadsheets/d/1IYY_tgx_IHuhSq3AJ5eI5OnqOPBNLWSHKh2a30DoXe8/edit?usp=sharing"",""ตรัง!J507"")"),0)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IFERROR(__xludf.DUMMYFUNCTION("IMPORTRANGE(""https://docs.google.com/spreadsheets/d/1IYY_tgx_IHuhSq3AJ5eI5OnqOPBNLWSHKh2a30DoXe8/edit?usp=sharing"",""ตรัง!I508"")"),0)</f>
        <v>0</v>
      </c>
      <c r="J613" s="204">
        <f ca="1">IFERROR(__xludf.DUMMYFUNCTION("IMPORTRANGE(""https://docs.google.com/spreadsheets/d/1IYY_tgx_IHuhSq3AJ5eI5OnqOPBNLWSHKh2a30DoXe8/edit?usp=sharing"",""ตรัง!J508"")"),0)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IFERROR(__xludf.DUMMYFUNCTION("IMPORTRANGE(""https://docs.google.com/spreadsheets/d/1IYY_tgx_IHuhSq3AJ5eI5OnqOPBNLWSHKh2a30DoXe8/edit?usp=sharing"",""ตรัง!I509"")"),0)</f>
        <v>0</v>
      </c>
      <c r="J614" s="204">
        <f ca="1">IFERROR(__xludf.DUMMYFUNCTION("IMPORTRANGE(""https://docs.google.com/spreadsheets/d/1IYY_tgx_IHuhSq3AJ5eI5OnqOPBNLWSHKh2a30DoXe8/edit?usp=sharing"",""ตรัง!J509"")"),0)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IFERROR(__xludf.DUMMYFUNCTION("IMPORTRANGE(""https://docs.google.com/spreadsheets/d/1IYY_tgx_IHuhSq3AJ5eI5OnqOPBNLWSHKh2a30DoXe8/edit?usp=sharing"",""ตรัง!I510"")"),0)</f>
        <v>0</v>
      </c>
      <c r="J615" s="204">
        <f ca="1">IFERROR(__xludf.DUMMYFUNCTION("IMPORTRANGE(""https://docs.google.com/spreadsheets/d/1IYY_tgx_IHuhSq3AJ5eI5OnqOPBNLWSHKh2a30DoXe8/edit?usp=sharing"",""ตรัง!J510"")"),0)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IFERROR(__xludf.DUMMYFUNCTION("IMPORTRANGE(""https://docs.google.com/spreadsheets/d/1IYY_tgx_IHuhSq3AJ5eI5OnqOPBNLWSHKh2a30DoXe8/edit?usp=sharing"",""ตรัง!I511"")"),0)</f>
        <v>0</v>
      </c>
      <c r="J616" s="204">
        <f ca="1">IFERROR(__xludf.DUMMYFUNCTION("IMPORTRANGE(""https://docs.google.com/spreadsheets/d/1IYY_tgx_IHuhSq3AJ5eI5OnqOPBNLWSHKh2a30DoXe8/edit?usp=sharing"",""ตรัง!J511"")"),0)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IFERROR(__xludf.DUMMYFUNCTION("IMPORTRANGE(""https://docs.google.com/spreadsheets/d/1IYY_tgx_IHuhSq3AJ5eI5OnqOPBNLWSHKh2a30DoXe8/edit?usp=sharing"",""ตรัง!I512"")"),0)</f>
        <v>0</v>
      </c>
      <c r="J617" s="194">
        <f ca="1">IFERROR(__xludf.DUMMYFUNCTION("IMPORTRANGE(""https://docs.google.com/spreadsheets/d/1IYY_tgx_IHuhSq3AJ5eI5OnqOPBNLWSHKh2a30DoXe8/edit?usp=sharing"",""ตรัง!J512"")"),0)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IFERROR(__xludf.DUMMYFUNCTION("IMPORTRANGE(""https://docs.google.com/spreadsheets/d/1IYY_tgx_IHuhSq3AJ5eI5OnqOPBNLWSHKh2a30DoXe8/edit?usp=sharing"",""ตรัง!I513"")"),0)</f>
        <v>0</v>
      </c>
      <c r="J618" s="195">
        <f ca="1">IFERROR(__xludf.DUMMYFUNCTION("IMPORTRANGE(""https://docs.google.com/spreadsheets/d/1IYY_tgx_IHuhSq3AJ5eI5OnqOPBNLWSHKh2a30DoXe8/edit?usp=sharing"",""ตรัง!J513"")"),0)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IFERROR(__xludf.DUMMYFUNCTION("IMPORTRANGE(""https://docs.google.com/spreadsheets/d/1IYY_tgx_IHuhSq3AJ5eI5OnqOPBNLWSHKh2a30DoXe8/edit?usp=sharing"",""ตรัง!I514"")"),0)</f>
        <v>0</v>
      </c>
      <c r="J619" s="195">
        <f ca="1">IFERROR(__xludf.DUMMYFUNCTION("IMPORTRANGE(""https://docs.google.com/spreadsheets/d/1IYY_tgx_IHuhSq3AJ5eI5OnqOPBNLWSHKh2a30DoXe8/edit?usp=sharing"",""ตรัง!J514"")"),0)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IFERROR(__xludf.DUMMYFUNCTION("IMPORTRANGE(""https://docs.google.com/spreadsheets/d/1IYY_tgx_IHuhSq3AJ5eI5OnqOPBNLWSHKh2a30DoXe8/edit?usp=sharing"",""ตรัง!I515"")"),0)</f>
        <v>0</v>
      </c>
      <c r="J620" s="209">
        <f ca="1">IFERROR(__xludf.DUMMYFUNCTION("IMPORTRANGE(""https://docs.google.com/spreadsheets/d/1IYY_tgx_IHuhSq3AJ5eI5OnqOPBNLWSHKh2a30DoXe8/edit?usp=sharing"",""ตรัง!J515"")"),0)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IFERROR(__xludf.DUMMYFUNCTION("IMPORTRANGE(""https://docs.google.com/spreadsheets/d/1IYY_tgx_IHuhSq3AJ5eI5OnqOPBNLWSHKh2a30DoXe8/edit?usp=sharing"",""ตรัง!I516"")"),0)</f>
        <v>0</v>
      </c>
      <c r="J621" s="209">
        <f ca="1">IFERROR(__xludf.DUMMYFUNCTION("IMPORTRANGE(""https://docs.google.com/spreadsheets/d/1IYY_tgx_IHuhSq3AJ5eI5OnqOPBNLWSHKh2a30DoXe8/edit?usp=sharing"",""ตรัง!J516"")"),0)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IFERROR(__xludf.DUMMYFUNCTION("IMPORTRANGE(""https://docs.google.com/spreadsheets/d/1IYY_tgx_IHuhSq3AJ5eI5OnqOPBNLWSHKh2a30DoXe8/edit?usp=sharing"",""ตรัง!I517"")"),0)</f>
        <v>0</v>
      </c>
      <c r="J622" s="195">
        <f ca="1">IFERROR(__xludf.DUMMYFUNCTION("IMPORTRANGE(""https://docs.google.com/spreadsheets/d/1IYY_tgx_IHuhSq3AJ5eI5OnqOPBNLWSHKh2a30DoXe8/edit?usp=sharing"",""ตรัง!J517"")"),0)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IFERROR(__xludf.DUMMYFUNCTION("IMPORTRANGE(""https://docs.google.com/spreadsheets/d/1IYY_tgx_IHuhSq3AJ5eI5OnqOPBNLWSHKh2a30DoXe8/edit?usp=sharing"",""ตรัง!I518"")"),0)</f>
        <v>0</v>
      </c>
      <c r="J623" s="195">
        <f ca="1">IFERROR(__xludf.DUMMYFUNCTION("IMPORTRANGE(""https://docs.google.com/spreadsheets/d/1IYY_tgx_IHuhSq3AJ5eI5OnqOPBNLWSHKh2a30DoXe8/edit?usp=sharing"",""ตรัง!J518"")"),0)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IFERROR(__xludf.DUMMYFUNCTION("IMPORTRANGE(""https://docs.google.com/spreadsheets/d/1IYY_tgx_IHuhSq3AJ5eI5OnqOPBNLWSHKh2a30DoXe8/edit?usp=sharing"",""ตรัง!I519"")"),0)</f>
        <v>0</v>
      </c>
      <c r="J624" s="194">
        <f ca="1">IFERROR(__xludf.DUMMYFUNCTION("IMPORTRANGE(""https://docs.google.com/spreadsheets/d/1IYY_tgx_IHuhSq3AJ5eI5OnqOPBNLWSHKh2a30DoXe8/edit?usp=sharing"",""ตรัง!J519"")"),0)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IFERROR(__xludf.DUMMYFUNCTION("IMPORTRANGE(""https://docs.google.com/spreadsheets/d/1IYY_tgx_IHuhSq3AJ5eI5OnqOPBNLWSHKh2a30DoXe8/edit?usp=sharing"",""ตรัง!I520"")"),0)</f>
        <v>0</v>
      </c>
      <c r="J625" s="195">
        <f ca="1">IFERROR(__xludf.DUMMYFUNCTION("IMPORTRANGE(""https://docs.google.com/spreadsheets/d/1IYY_tgx_IHuhSq3AJ5eI5OnqOPBNLWSHKh2a30DoXe8/edit?usp=sharing"",""ตรัง!J520"")"),0)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IFERROR(__xludf.DUMMYFUNCTION("IMPORTRANGE(""https://docs.google.com/spreadsheets/d/1IYY_tgx_IHuhSq3AJ5eI5OnqOPBNLWSHKh2a30DoXe8/edit?usp=sharing"",""ตรัง!I521"")"),0)</f>
        <v>0</v>
      </c>
      <c r="J626" s="195">
        <f ca="1">IFERROR(__xludf.DUMMYFUNCTION("IMPORTRANGE(""https://docs.google.com/spreadsheets/d/1IYY_tgx_IHuhSq3AJ5eI5OnqOPBNLWSHKh2a30DoXe8/edit?usp=sharing"",""ตรัง!J521"")"),0)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IFERROR(__xludf.DUMMYFUNCTION("IMPORTRANGE(""https://docs.google.com/spreadsheets/d/1IYY_tgx_IHuhSq3AJ5eI5OnqOPBNLWSHKh2a30DoXe8/edit?usp=sharing"",""ตรัง!J523"")"),915269.2)</f>
        <v>915269.2</v>
      </c>
      <c r="K628" s="348">
        <f t="shared" ref="K628:K635" ca="1" si="129">IF(I628&gt;0,J628*100/I628,0)</f>
        <v>54.721336163385942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IFERROR(__xludf.DUMMYFUNCTION("IMPORTRANGE(""https://docs.google.com/spreadsheets/d/1IYY_tgx_IHuhSq3AJ5eI5OnqOPBNLWSHKh2a30DoXe8/edit?usp=sharing"",""ตรัง!J524"")"),59)</f>
        <v>59</v>
      </c>
      <c r="K629" s="348">
        <f t="shared" ca="1" si="129"/>
        <v>57.843137254901961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IFERROR(__xludf.DUMMYFUNCTION("IMPORTRANGE(""https://docs.google.com/spreadsheets/d/1IYY_tgx_IHuhSq3AJ5eI5OnqOPBNLWSHKh2a30DoXe8/edit?usp=sharing"",""ตรัง!J525"")"),662121.33)</f>
        <v>662121.32999999996</v>
      </c>
      <c r="K630" s="348">
        <f t="shared" ca="1" si="129"/>
        <v>26.903801565512701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IFERROR(__xludf.DUMMYFUNCTION("IMPORTRANGE(""https://docs.google.com/spreadsheets/d/1IYY_tgx_IHuhSq3AJ5eI5OnqOPBNLWSHKh2a30DoXe8/edit?usp=sharing"",""ตรัง!J526"")"),54)</f>
        <v>54</v>
      </c>
      <c r="K631" s="348">
        <f t="shared" ca="1" si="129"/>
        <v>60.674157303370784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IFERROR(__xludf.DUMMYFUNCTION("IMPORTRANGE(""https://docs.google.com/spreadsheets/d/1IYY_tgx_IHuhSq3AJ5eI5OnqOPBNLWSHKh2a30DoXe8/edit?usp=sharing"",""ตรัง!J529"")"),1200000)</f>
        <v>1200000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IFERROR(__xludf.DUMMYFUNCTION("IMPORTRANGE(""https://docs.google.com/spreadsheets/d/1IYY_tgx_IHuhSq3AJ5eI5OnqOPBNLWSHKh2a30DoXe8/edit?usp=sharing"",""ตรัง!I530"")"),24)</f>
        <v>24</v>
      </c>
      <c r="J635" s="518">
        <f ca="1">IFERROR(__xludf.DUMMYFUNCTION("IMPORTRANGE(""https://docs.google.com/spreadsheets/d/1IYY_tgx_IHuhSq3AJ5eI5OnqOPBNLWSHKh2a30DoXe8/edit?usp=sharing"",""ตรัง!J530"")"),25)</f>
        <v>25</v>
      </c>
      <c r="K635" s="493">
        <f t="shared" ca="1" si="129"/>
        <v>104.16666666666667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IFERROR(__xludf.DUMMYFUNCTION("IMPORTRANGE(""https://docs.google.com/spreadsheets/d/1IYY_tgx_IHuhSq3AJ5eI5OnqOPBNLWSHKh2a30DoXe8/edit?usp=sharing"",""ตรัง!J541"")"),0)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IFERROR(__xludf.DUMMYFUNCTION("IMPORTRANGE(""https://docs.google.com/spreadsheets/d/1IYY_tgx_IHuhSq3AJ5eI5OnqOPBNLWSHKh2a30DoXe8/edit?usp=sharing"",""ตรัง!J542"")"),0)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IFERROR(__xludf.DUMMYFUNCTION("IMPORTRANGE(""https://docs.google.com/spreadsheets/d/1IYY_tgx_IHuhSq3AJ5eI5OnqOPBNLWSHKh2a30DoXe8/edit?usp=sharing"",""ตรัง!I543"")"),0)</f>
        <v>0</v>
      </c>
      <c r="J648" s="547">
        <f ca="1">IFERROR(__xludf.DUMMYFUNCTION("IMPORTRANGE(""https://docs.google.com/spreadsheets/d/1IYY_tgx_IHuhSq3AJ5eI5OnqOPBNLWSHKh2a30DoXe8/edit?usp=sharing"",""ตรัง!J543"")"),0)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IFERROR(__xludf.DUMMYFUNCTION("IMPORTRANGE(""https://docs.google.com/spreadsheets/d/1IYY_tgx_IHuhSq3AJ5eI5OnqOPBNLWSHKh2a30DoXe8/edit?usp=sharing"",""ตรัง!L543"")"),0)</f>
        <v>0</v>
      </c>
      <c r="M648" s="534"/>
      <c r="N648" s="549">
        <f ca="1">IFERROR(__xludf.DUMMYFUNCTION("IMPORTRANGE(""https://docs.google.com/spreadsheets/d/1IYY_tgx_IHuhSq3AJ5eI5OnqOPBNLWSHKh2a30DoXe8/edit?usp=sharing"",""ตรัง!M543"")"),0)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IFERROR(__xludf.DUMMYFUNCTION("IMPORTRANGE(""https://docs.google.com/spreadsheets/d/1IYY_tgx_IHuhSq3AJ5eI5OnqOPBNLWSHKh2a30DoXe8/edit?usp=sharing"",""ตรัง!I544"")"),0)</f>
        <v>0</v>
      </c>
      <c r="J649" s="547">
        <f ca="1">IFERROR(__xludf.DUMMYFUNCTION("IMPORTRANGE(""https://docs.google.com/spreadsheets/d/1IYY_tgx_IHuhSq3AJ5eI5OnqOPBNLWSHKh2a30DoXe8/edit?usp=sharing"",""ตรัง!J544"")"),0)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IFERROR(__xludf.DUMMYFUNCTION("IMPORTRANGE(""https://docs.google.com/spreadsheets/d/1IYY_tgx_IHuhSq3AJ5eI5OnqOPBNLWSHKh2a30DoXe8/edit?usp=sharing"",""ตรัง!L544"")"),0)</f>
        <v>0</v>
      </c>
      <c r="M649" s="534"/>
      <c r="N649" s="549">
        <f ca="1">IFERROR(__xludf.DUMMYFUNCTION("IMPORTRANGE(""https://docs.google.com/spreadsheets/d/1IYY_tgx_IHuhSq3AJ5eI5OnqOPBNLWSHKh2a30DoXe8/edit?usp=sharing"",""ตรัง!M544"")"),0)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IFERROR(__xludf.DUMMYFUNCTION("IMPORTRANGE(""https://docs.google.com/spreadsheets/d/1IYY_tgx_IHuhSq3AJ5eI5OnqOPBNLWSHKh2a30DoXe8/edit?usp=sharing"",""ตรัง!I545"")"),0)</f>
        <v>0</v>
      </c>
      <c r="J650" s="547">
        <f ca="1">IFERROR(__xludf.DUMMYFUNCTION("IMPORTRANGE(""https://docs.google.com/spreadsheets/d/1IYY_tgx_IHuhSq3AJ5eI5OnqOPBNLWSHKh2a30DoXe8/edit?usp=sharing"",""ตรัง!J545"")"),0)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IFERROR(__xludf.DUMMYFUNCTION("IMPORTRANGE(""https://docs.google.com/spreadsheets/d/1IYY_tgx_IHuhSq3AJ5eI5OnqOPBNLWSHKh2a30DoXe8/edit?usp=sharing"",""ตรัง!L545"")"),0)</f>
        <v>0</v>
      </c>
      <c r="M650" s="534"/>
      <c r="N650" s="549">
        <f ca="1">IFERROR(__xludf.DUMMYFUNCTION("IMPORTRANGE(""https://docs.google.com/spreadsheets/d/1IYY_tgx_IHuhSq3AJ5eI5OnqOPBNLWSHKh2a30DoXe8/edit?usp=sharing"",""ตรัง!M545"")"),0)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IFERROR(__xludf.DUMMYFUNCTION("IMPORTRANGE(""https://docs.google.com/spreadsheets/d/1IYY_tgx_IHuhSq3AJ5eI5OnqOPBNLWSHKh2a30DoXe8/edit?usp=sharing"",""ตรัง!I546"")"),0)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IFERROR(__xludf.DUMMYFUNCTION("IMPORTRANGE(""https://docs.google.com/spreadsheets/d/1IYY_tgx_IHuhSq3AJ5eI5OnqOPBNLWSHKh2a30DoXe8/edit?usp=sharing"",""ตรัง!L546"")"),0)</f>
        <v>0</v>
      </c>
      <c r="M651" s="534"/>
      <c r="N651" s="549">
        <f ca="1">IFERROR(__xludf.DUMMYFUNCTION("IMPORTRANGE(""https://docs.google.com/spreadsheets/d/1IYY_tgx_IHuhSq3AJ5eI5OnqOPBNLWSHKh2a30DoXe8/edit?usp=sharing"",""ตรัง!M546"")"),0)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IFERROR(__xludf.DUMMYFUNCTION("IMPORTRANGE(""https://docs.google.com/spreadsheets/d/1IYY_tgx_IHuhSq3AJ5eI5OnqOPBNLWSHKh2a30DoXe8/edit?usp=sharing"",""ตรัง!J547"")"),0)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IFERROR(__xludf.DUMMYFUNCTION("IMPORTRANGE(""https://docs.google.com/spreadsheets/d/1IYY_tgx_IHuhSq3AJ5eI5OnqOPBNLWSHKh2a30DoXe8/edit?usp=sharing"",""ตรัง!J548"")"),0)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IFERROR(__xludf.DUMMYFUNCTION("IMPORTRANGE(""https://docs.google.com/spreadsheets/d/1IYY_tgx_IHuhSq3AJ5eI5OnqOPBNLWSHKh2a30DoXe8/edit?usp=sharing"",""ตรัง!J550"")"),0)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IFERROR(__xludf.DUMMYFUNCTION("IMPORTRANGE(""https://docs.google.com/spreadsheets/d/1IYY_tgx_IHuhSq3AJ5eI5OnqOPBNLWSHKh2a30DoXe8/edit?usp=sharing"",""ตรัง!J551"")"),0)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IFERROR(__xludf.DUMMYFUNCTION("IMPORTRANGE(""https://docs.google.com/spreadsheets/d/1IYY_tgx_IHuhSq3AJ5eI5OnqOPBNLWSHKh2a30DoXe8/edit?usp=sharing"",""ตรัง!J552"")"),0)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IFERROR(__xludf.DUMMYFUNCTION("IMPORTRANGE(""https://docs.google.com/spreadsheets/d/1IYY_tgx_IHuhSq3AJ5eI5OnqOPBNLWSHKh2a30DoXe8/edit?usp=sharing"",""ตรัง!J553"")"),0)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IFERROR(__xludf.DUMMYFUNCTION("IMPORTRANGE(""https://docs.google.com/spreadsheets/d/1IYY_tgx_IHuhSq3AJ5eI5OnqOPBNLWSHKh2a30DoXe8/edit?usp=sharing"",""ตรัง!J554"")"),0)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IFERROR(__xludf.DUMMYFUNCTION("IMPORTRANGE(""https://docs.google.com/spreadsheets/d/1IYY_tgx_IHuhSq3AJ5eI5OnqOPBNLWSHKh2a30DoXe8/edit?usp=sharing"",""ตรัง!J555"")"),0)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IFERROR(__xludf.DUMMYFUNCTION("IMPORTRANGE(""https://docs.google.com/spreadsheets/d/1IYY_tgx_IHuhSq3AJ5eI5OnqOPBNLWSHKh2a30DoXe8/edit?usp=sharing"",""ตรัง!J556"")"),0)</f>
        <v>0</v>
      </c>
      <c r="K661" s="548"/>
      <c r="L661" s="535">
        <f ca="1">IFERROR(__xludf.DUMMYFUNCTION("IMPORTRANGE(""https://docs.google.com/spreadsheets/d/1IYY_tgx_IHuhSq3AJ5eI5OnqOPBNLWSHKh2a30DoXe8/edit?usp=sharing"",""ตรัง!L556"")"),0)</f>
        <v>0</v>
      </c>
      <c r="M661" s="534"/>
      <c r="N661" s="549">
        <f ca="1">IFERROR(__xludf.DUMMYFUNCTION("IMPORTRANGE(""https://docs.google.com/spreadsheets/d/1IYY_tgx_IHuhSq3AJ5eI5OnqOPBNLWSHKh2a30DoXe8/edit?usp=sharing"",""ตรัง!M556"")"),0)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IFERROR(__xludf.DUMMYFUNCTION("IMPORTRANGE(""https://docs.google.com/spreadsheets/d/1IYY_tgx_IHuhSq3AJ5eI5OnqOPBNLWSHKh2a30DoXe8/edit?usp=sharing"",""ตรัง!J557"")"),0)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IFERROR(__xludf.DUMMYFUNCTION("IMPORTRANGE(""https://docs.google.com/spreadsheets/d/1IYY_tgx_IHuhSq3AJ5eI5OnqOPBNLWSHKh2a30DoXe8/edit?usp=sharing"",""ตรัง!I558"")"),0)</f>
        <v>0</v>
      </c>
      <c r="J663" s="547">
        <f ca="1">IFERROR(__xludf.DUMMYFUNCTION("IMPORTRANGE(""https://docs.google.com/spreadsheets/d/1IYY_tgx_IHuhSq3AJ5eI5OnqOPBNLWSHKh2a30DoXe8/edit?usp=sharing"",""ตรัง!J558"")"),0)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IFERROR(__xludf.DUMMYFUNCTION("IMPORTRANGE(""https://docs.google.com/spreadsheets/d/1IYY_tgx_IHuhSq3AJ5eI5OnqOPBNLWSHKh2a30DoXe8/edit?usp=sharing"",""ตรัง!I560"")"),0)</f>
        <v>0</v>
      </c>
      <c r="J665" s="547">
        <f ca="1">IFERROR(__xludf.DUMMYFUNCTION("IMPORTRANGE(""https://docs.google.com/spreadsheets/d/1IYY_tgx_IHuhSq3AJ5eI5OnqOPBNLWSHKh2a30DoXe8/edit?usp=sharing"",""ตรัง!J560"")"),0)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IFERROR(__xludf.DUMMYFUNCTION("IMPORTRANGE(""https://docs.google.com/spreadsheets/d/1IYY_tgx_IHuhSq3AJ5eI5OnqOPBNLWSHKh2a30DoXe8/edit?usp=sharing"",""ตรัง!L560"")"),0)</f>
        <v>0</v>
      </c>
      <c r="M665" s="534"/>
      <c r="N665" s="549">
        <f ca="1">IFERROR(__xludf.DUMMYFUNCTION("IMPORTRANGE(""https://docs.google.com/spreadsheets/d/1IYY_tgx_IHuhSq3AJ5eI5OnqOPBNLWSHKh2a30DoXe8/edit?usp=sharing"",""ตรัง!M560"")"),0)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IFERROR(__xludf.DUMMYFUNCTION("IMPORTRANGE(""https://docs.google.com/spreadsheets/d/1IYY_tgx_IHuhSq3AJ5eI5OnqOPBNLWSHKh2a30DoXe8/edit?usp=sharing"",""ตรัง!J561"")"),0)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IFERROR(__xludf.DUMMYFUNCTION("IMPORTRANGE(""https://docs.google.com/spreadsheets/d/1IYY_tgx_IHuhSq3AJ5eI5OnqOPBNLWSHKh2a30DoXe8/edit?usp=sharing"",""ตรัง!J562"")"),0)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IFERROR(__xludf.DUMMYFUNCTION("IMPORTRANGE(""https://docs.google.com/spreadsheets/d/1IYY_tgx_IHuhSq3AJ5eI5OnqOPBNLWSHKh2a30DoXe8/edit?usp=sharing"",""ตรัง!I563"")"),0)</f>
        <v>0</v>
      </c>
      <c r="J668" s="547">
        <f ca="1">IFERROR(__xludf.DUMMYFUNCTION("IMPORTRANGE(""https://docs.google.com/spreadsheets/d/1IYY_tgx_IHuhSq3AJ5eI5OnqOPBNLWSHKh2a30DoXe8/edit?usp=sharing"",""ตรัง!J563"")"),0)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IFERROR(__xludf.DUMMYFUNCTION("IMPORTRANGE(""https://docs.google.com/spreadsheets/d/1IYY_tgx_IHuhSq3AJ5eI5OnqOPBNLWSHKh2a30DoXe8/edit?usp=sharing"",""ตรัง!L563"")"),0)</f>
        <v>0</v>
      </c>
      <c r="M668" s="534"/>
      <c r="N668" s="549">
        <f ca="1">IFERROR(__xludf.DUMMYFUNCTION("IMPORTRANGE(""https://docs.google.com/spreadsheets/d/1IYY_tgx_IHuhSq3AJ5eI5OnqOPBNLWSHKh2a30DoXe8/edit?usp=sharing"",""ตรัง!M563"")"),0)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IFERROR(__xludf.DUMMYFUNCTION("IMPORTRANGE(""https://docs.google.com/spreadsheets/d/1IYY_tgx_IHuhSq3AJ5eI5OnqOPBNLWSHKh2a30DoXe8/edit?usp=sharing"",""ตรัง!J564"")"),0)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IFERROR(__xludf.DUMMYFUNCTION("IMPORTRANGE(""https://docs.google.com/spreadsheets/d/1IYY_tgx_IHuhSq3AJ5eI5OnqOPBNLWSHKh2a30DoXe8/edit?usp=sharing"",""ตรัง!J565"")"),0)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IFERROR(__xludf.DUMMYFUNCTION("IMPORTRANGE(""https://docs.google.com/spreadsheets/d/1IYY_tgx_IHuhSq3AJ5eI5OnqOPBNLWSHKh2a30DoXe8/edit?usp=sharing"",""ตรัง!I566"")"),0)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IFERROR(__xludf.DUMMYFUNCTION("IMPORTRANGE(""https://docs.google.com/spreadsheets/d/1IYY_tgx_IHuhSq3AJ5eI5OnqOPBNLWSHKh2a30DoXe8/edit?usp=sharing"",""ตรัง!L566"")"),0)</f>
        <v>0</v>
      </c>
      <c r="M671" s="534"/>
      <c r="N671" s="549">
        <f ca="1">IFERROR(__xludf.DUMMYFUNCTION("IMPORTRANGE(""https://docs.google.com/spreadsheets/d/1IYY_tgx_IHuhSq3AJ5eI5OnqOPBNLWSHKh2a30DoXe8/edit?usp=sharing"",""ตรัง!M566"")"),0)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IFERROR(__xludf.DUMMYFUNCTION("IMPORTRANGE(""https://docs.google.com/spreadsheets/d/1IYY_tgx_IHuhSq3AJ5eI5OnqOPBNLWSHKh2a30DoXe8/edit?usp=sharing"",""ตรัง!J567"")"),0)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IFERROR(__xludf.DUMMYFUNCTION("IMPORTRANGE(""https://docs.google.com/spreadsheets/d/1IYY_tgx_IHuhSq3AJ5eI5OnqOPBNLWSHKh2a30DoXe8/edit?usp=sharing"",""ตรัง!J568"")"),0)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IFERROR(__xludf.DUMMYFUNCTION("IMPORTRANGE(""https://docs.google.com/spreadsheets/d/1IYY_tgx_IHuhSq3AJ5eI5OnqOPBNLWSHKh2a30DoXe8/edit?usp=sharing"",""ตรัง!J569"")"),0)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IFERROR(__xludf.DUMMYFUNCTION("IMPORTRANGE(""https://docs.google.com/spreadsheets/d/1IYY_tgx_IHuhSq3AJ5eI5OnqOPBNLWSHKh2a30DoXe8/edit?usp=sharing"",""ตรัง!J570"")"),0)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IFERROR(__xludf.DUMMYFUNCTION("IMPORTRANGE(""https://docs.google.com/spreadsheets/d/1IYY_tgx_IHuhSq3AJ5eI5OnqOPBNLWSHKh2a30DoXe8/edit?usp=sharing"",""ตรัง!J571"")"),0)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IFERROR(__xludf.DUMMYFUNCTION("IMPORTRANGE(""https://docs.google.com/spreadsheets/d/1IYY_tgx_IHuhSq3AJ5eI5OnqOPBNLWSHKh2a30DoXe8/edit?usp=sharing"",""ตรัง!J572"")"),0)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266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4488096</v>
      </c>
      <c r="M8" s="23">
        <f t="shared" ca="1" si="0"/>
        <v>3452284.76</v>
      </c>
      <c r="N8" s="23">
        <f t="shared" ca="1" si="0"/>
        <v>3448707.0999999996</v>
      </c>
      <c r="O8" s="22">
        <f t="shared" ref="O8:O16" ca="1" si="1">IF(L8&gt;0,N8*100/L8,0)</f>
        <v>76.841206159583024</v>
      </c>
      <c r="P8" s="22">
        <f t="shared" ref="P8:P16" ca="1" si="2">IF(M8&gt;0,N8*100/M8,0)</f>
        <v>99.896368340136561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4488096</v>
      </c>
      <c r="M10" s="30">
        <f t="shared" ca="1" si="4"/>
        <v>3452284.76</v>
      </c>
      <c r="N10" s="30">
        <f t="shared" ca="1" si="4"/>
        <v>3448707.0999999996</v>
      </c>
      <c r="O10" s="29">
        <f t="shared" ca="1" si="1"/>
        <v>76.841206159583024</v>
      </c>
      <c r="P10" s="29">
        <f t="shared" ca="1" si="2"/>
        <v>99.896368340136561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4289796</v>
      </c>
      <c r="M12" s="38">
        <f t="shared" ca="1" si="6"/>
        <v>3253984.76</v>
      </c>
      <c r="N12" s="38">
        <f t="shared" ca="1" si="6"/>
        <v>3250407.0999999996</v>
      </c>
      <c r="O12" s="38">
        <f t="shared" ca="1" si="1"/>
        <v>75.770668348797926</v>
      </c>
      <c r="P12" s="38">
        <f t="shared" ca="1" si="2"/>
        <v>99.890052957715753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1872200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2417596</v>
      </c>
      <c r="M14" s="38">
        <f t="shared" si="8"/>
        <v>0</v>
      </c>
      <c r="N14" s="38">
        <f t="shared" ca="1" si="8"/>
        <v>595603.53</v>
      </c>
      <c r="O14" s="41">
        <f t="shared" ca="1" si="1"/>
        <v>24.636189421226707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3276665</v>
      </c>
      <c r="M18" s="23">
        <f t="shared" ca="1" si="11"/>
        <v>3452284.76</v>
      </c>
      <c r="N18" s="23">
        <f t="shared" ca="1" si="11"/>
        <v>2853103.57</v>
      </c>
      <c r="O18" s="22">
        <f t="shared" ref="O18:O20" ca="1" si="12">IF(L18&gt;0,N18*100/L18,0)</f>
        <v>87.073398409663483</v>
      </c>
      <c r="P18" s="22">
        <f t="shared" ref="P18:P26" ca="1" si="13">IF(M18&gt;0,N18*100/M18,0)</f>
        <v>82.643923324563758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3276665</v>
      </c>
      <c r="M20" s="30">
        <f t="shared" ca="1" si="15"/>
        <v>3452284.76</v>
      </c>
      <c r="N20" s="30">
        <f t="shared" ca="1" si="15"/>
        <v>2853103.57</v>
      </c>
      <c r="O20" s="29">
        <f t="shared" ca="1" si="12"/>
        <v>87.073398409663483</v>
      </c>
      <c r="P20" s="29">
        <f t="shared" ca="1" si="13"/>
        <v>82.643923324563758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3078365</v>
      </c>
      <c r="M22" s="42">
        <f t="shared" ca="1" si="18"/>
        <v>3253984.76</v>
      </c>
      <c r="N22" s="41">
        <f t="shared" ca="1" si="18"/>
        <v>2654803.5699999998</v>
      </c>
      <c r="O22" s="41">
        <f t="shared" ca="1" si="17"/>
        <v>86.240701476270672</v>
      </c>
      <c r="P22" s="41">
        <f t="shared" ca="1" si="13"/>
        <v>81.586232444432213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1872200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1206165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1211431</v>
      </c>
      <c r="M28" s="23">
        <f t="shared" si="23"/>
        <v>0</v>
      </c>
      <c r="N28" s="23">
        <f t="shared" ca="1" si="23"/>
        <v>595603.53</v>
      </c>
      <c r="O28" s="22">
        <f t="shared" ref="O28:O30" ca="1" si="24">IF(L28&gt;0,N28*100/L28,0)</f>
        <v>49.165287168646003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1211431</v>
      </c>
      <c r="M30" s="30">
        <f t="shared" si="27"/>
        <v>0</v>
      </c>
      <c r="N30" s="30">
        <f t="shared" ca="1" si="27"/>
        <v>595603.53</v>
      </c>
      <c r="O30" s="29">
        <f t="shared" ca="1" si="24"/>
        <v>49.165287168646003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1211431</v>
      </c>
      <c r="M32" s="41">
        <f t="shared" si="30"/>
        <v>0</v>
      </c>
      <c r="N32" s="41">
        <f t="shared" ca="1" si="30"/>
        <v>595603.53</v>
      </c>
      <c r="O32" s="41">
        <f t="shared" ca="1" si="29"/>
        <v>49.165287168646003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1211431</v>
      </c>
      <c r="M34" s="41">
        <f t="shared" si="32"/>
        <v>0</v>
      </c>
      <c r="N34" s="41">
        <f t="shared" ca="1" si="32"/>
        <v>595603.53</v>
      </c>
      <c r="O34" s="41">
        <f t="shared" ca="1" si="29"/>
        <v>49.165287168646003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3276665</v>
      </c>
      <c r="M37" s="55">
        <f t="shared" ca="1" si="33"/>
        <v>3452284.76</v>
      </c>
      <c r="N37" s="55">
        <f t="shared" ca="1" si="33"/>
        <v>2853103.57</v>
      </c>
      <c r="O37" s="56">
        <f t="shared" ca="1" si="29"/>
        <v>87.073398409663483</v>
      </c>
      <c r="P37" s="56">
        <f t="shared" ca="1" si="25"/>
        <v>82.643923324563758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747700</v>
      </c>
      <c r="M41" s="79">
        <f t="shared" ca="1" si="34"/>
        <v>747700</v>
      </c>
      <c r="N41" s="79">
        <f t="shared" ca="1" si="34"/>
        <v>600614.43000000005</v>
      </c>
      <c r="O41" s="78">
        <f t="shared" ref="O41:O43" ca="1" si="35">IF(L41&gt;0,N41*100/L41,0)</f>
        <v>80.328264009629535</v>
      </c>
      <c r="P41" s="78">
        <f t="shared" ref="P41:P43" ca="1" si="36">IF(M41&gt;0,N41*100/M41,0)</f>
        <v>80.328264009629535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747700</v>
      </c>
      <c r="M43" s="79">
        <f t="shared" ca="1" si="38"/>
        <v>747700</v>
      </c>
      <c r="N43" s="79">
        <f t="shared" ca="1" si="38"/>
        <v>600614.43000000005</v>
      </c>
      <c r="O43" s="78">
        <f t="shared" ca="1" si="35"/>
        <v>80.328264009629535</v>
      </c>
      <c r="P43" s="78">
        <f t="shared" ca="1" si="36"/>
        <v>80.328264009629535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747700</v>
      </c>
      <c r="M45" s="91">
        <f ca="1">IFERROR(__xludf.DUMMYFUNCTION("IMPORTRANGE(""https://docs.google.com/spreadsheets/d/1Yj_ptqi66GCucihVvJfMjLAmec39IyEx_6qawtMGysU/edit?usp=sharing"",""สบก!Q84"")"),747700)</f>
        <v>747700</v>
      </c>
      <c r="N45" s="91">
        <f ca="1">IFERROR(__xludf.DUMMYFUNCTION("IMPORTRANGE(""https://docs.google.com/spreadsheets/d/1Yj_ptqi66GCucihVvJfMjLAmec39IyEx_6qawtMGysU/edit?usp=sharing"",""สบก!R84"")"),600614.43)</f>
        <v>600614.43000000005</v>
      </c>
      <c r="O45" s="92">
        <f ca="1">IF(L45&gt;0,N45*100/L45,0)</f>
        <v>80.328264009629535</v>
      </c>
      <c r="P45" s="92">
        <f ca="1">IF(M45&gt;0,N45*100/M45,0)</f>
        <v>80.328264009629535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IFERROR(__xludf.DUMMYFUNCTION("IMPORTRANGE(""https://docs.google.com/spreadsheets/d/1Yj_ptqi66GCucihVvJfMjLAmec39IyEx_6qawtMGysU/edit?usp=sharing"",""สบก!M84"")"),747700)</f>
        <v>747700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620809.76</v>
      </c>
      <c r="N53" s="125">
        <f t="shared" ca="1" si="39"/>
        <v>565263.76</v>
      </c>
      <c r="O53" s="124">
        <f t="shared" ref="O53:O55" ca="1" si="40">IF(L53&gt;0,N53*100/L53,0)</f>
        <v>94.21062666666667</v>
      </c>
      <c r="P53" s="124">
        <f t="shared" ref="P53:P55" ca="1" si="41">IF(M53&gt;0,N53*100/M53,0)</f>
        <v>91.052653553642585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620809.76</v>
      </c>
      <c r="N55" s="125">
        <f t="shared" ca="1" si="43"/>
        <v>565263.76</v>
      </c>
      <c r="O55" s="124">
        <f t="shared" ca="1" si="40"/>
        <v>94.21062666666667</v>
      </c>
      <c r="P55" s="124">
        <f t="shared" ca="1" si="41"/>
        <v>91.052653553642585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IFERROR(__xludf.DUMMYFUNCTION("IMPORTRANGE(""https://docs.google.com/spreadsheets/d/1Yj_ptqi66GCucihVvJfMjLAmec39IyEx_6qawtMGysU/edit?usp=sharing"",""สบก!Z84"")"),620809.76)</f>
        <v>620809.76</v>
      </c>
      <c r="N57" s="91">
        <f ca="1">IFERROR(__xludf.DUMMYFUNCTION("IMPORTRANGE(""https://docs.google.com/spreadsheets/d/1Yj_ptqi66GCucihVvJfMjLAmec39IyEx_6qawtMGysU/edit?usp=sharing"",""สบก!AA84"")"),565263.76)</f>
        <v>565263.76</v>
      </c>
      <c r="O57" s="92">
        <f ca="1">IF(L57&gt;0,N57*100/L57,0)</f>
        <v>94.21062666666667</v>
      </c>
      <c r="P57" s="92">
        <f ca="1">IF(M57&gt;0,N57*100/M57,0)</f>
        <v>91.052653553642585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IFERROR(__xludf.DUMMYFUNCTION("IMPORTRANGE(""https://docs.google.com/spreadsheets/d/1Yj_ptqi66GCucihVvJfMjLAmec39IyEx_6qawtMGysU/edit?usp=sharing"",""สบก!V84"")"),600000)</f>
        <v>600000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IFERROR(__xludf.DUMMYFUNCTION("IMPORTRANGE(""https://docs.google.com/spreadsheets/d/1Yj_ptqi66GCucihVvJfMjLAmec39IyEx_6qawtMGysU/edit?usp=sharing"",""สบก!AI84"")"),0)</f>
        <v>0</v>
      </c>
      <c r="N70" s="174">
        <f ca="1">IFERROR(__xludf.DUMMYFUNCTION("IMPORTRANGE(""https://docs.google.com/spreadsheets/d/1Yj_ptqi66GCucihVvJfMjLAmec39IyEx_6qawtMGysU/edit?usp=sharing"",""สบก!AJ84"")"),0)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IFERROR(__xludf.DUMMYFUNCTION("IMPORTRANGE(""https://docs.google.com/spreadsheets/d/1Yj_ptqi66GCucihVvJfMjLAmec39IyEx_6qawtMGysU/edit?usp=sharing"",""สบก!AE84"")"),0)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IFERROR(__xludf.DUMMYFUNCTION("IMPORTRANGE(""https://docs.google.com/spreadsheets/d/1Yj_ptqi66GCucihVvJfMjLAmec39IyEx_6qawtMGysU/edit?usp=sharing"",""สบก!AF84"")"),0)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IFERROR(__xludf.DUMMYFUNCTION("IMPORTRANGE(""https://docs.google.com/spreadsheets/d/1IYY_tgx_IHuhSq3AJ5eI5OnqOPBNLWSHKh2a30DoXe8/edit?usp=sharing"",""นครศรีธรรมราช!J16"")"),0)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IFERROR(__xludf.DUMMYFUNCTION("IMPORTRANGE(""https://docs.google.com/spreadsheets/d/1IYY_tgx_IHuhSq3AJ5eI5OnqOPBNLWSHKh2a30DoXe8/edit?usp=sharing"",""นครศรีธรรมราช!J17"")"),0)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IFERROR(__xludf.DUMMYFUNCTION("IMPORTRANGE(""https://docs.google.com/spreadsheets/d/1IYY_tgx_IHuhSq3AJ5eI5OnqOPBNLWSHKh2a30DoXe8/edit?usp=sharing"",""นครศรีธรรมราช!J18"")"),0)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IFERROR(__xludf.DUMMYFUNCTION("IMPORTRANGE(""https://docs.google.com/spreadsheets/d/1IYY_tgx_IHuhSq3AJ5eI5OnqOPBNLWSHKh2a30DoXe8/edit?usp=sharing"",""นครศรีธรรมราช!J19"")"),0)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IFERROR(__xludf.DUMMYFUNCTION("IMPORTRANGE(""https://docs.google.com/spreadsheets/d/1IYY_tgx_IHuhSq3AJ5eI5OnqOPBNLWSHKh2a30DoXe8/edit?usp=sharing"",""นครศรีธรรมราช!I20"")"),0)</f>
        <v>0</v>
      </c>
      <c r="J80" s="207">
        <f ca="1">IFERROR(__xludf.DUMMYFUNCTION("IMPORTRANGE(""https://docs.google.com/spreadsheets/d/1IYY_tgx_IHuhSq3AJ5eI5OnqOPBNLWSHKh2a30DoXe8/edit?usp=sharing"",""นครศรีธรรมราช!J20"")"),0)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IFERROR(__xludf.DUMMYFUNCTION("IMPORTRANGE(""https://docs.google.com/spreadsheets/d/1IYY_tgx_IHuhSq3AJ5eI5OnqOPBNLWSHKh2a30DoXe8/edit?usp=sharing"",""นครศรีธรรมราช!I21"")"),0)</f>
        <v>0</v>
      </c>
      <c r="J81" s="207">
        <f ca="1">IFERROR(__xludf.DUMMYFUNCTION("IMPORTRANGE(""https://docs.google.com/spreadsheets/d/1IYY_tgx_IHuhSq3AJ5eI5OnqOPBNLWSHKh2a30DoXe8/edit?usp=sharing"",""นครศรีธรรมราช!J21"")"),0)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IFERROR(__xludf.DUMMYFUNCTION("IMPORTRANGE(""https://docs.google.com/spreadsheets/d/1IYY_tgx_IHuhSq3AJ5eI5OnqOPBNLWSHKh2a30DoXe8/edit?usp=sharing"",""นครศรีธรรมราช!I22"")"),0)</f>
        <v>0</v>
      </c>
      <c r="J82" s="210">
        <f ca="1">IFERROR(__xludf.DUMMYFUNCTION("IMPORTRANGE(""https://docs.google.com/spreadsheets/d/1IYY_tgx_IHuhSq3AJ5eI5OnqOPBNLWSHKh2a30DoXe8/edit?usp=sharing"",""นครศรีธรรมราช!J22"")"),0)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IFERROR(__xludf.DUMMYFUNCTION("IMPORTRANGE(""https://docs.google.com/spreadsheets/d/1IYY_tgx_IHuhSq3AJ5eI5OnqOPBNLWSHKh2a30DoXe8/edit?usp=sharing"",""นครศรีธรรมราช!I23"")"),0)</f>
        <v>0</v>
      </c>
      <c r="J83" s="210">
        <f ca="1">IFERROR(__xludf.DUMMYFUNCTION("IMPORTRANGE(""https://docs.google.com/spreadsheets/d/1IYY_tgx_IHuhSq3AJ5eI5OnqOPBNLWSHKh2a30DoXe8/edit?usp=sharing"",""นครศรีธรรมราช!J23"")"),0)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IFERROR(__xludf.DUMMYFUNCTION("IMPORTRANGE(""https://docs.google.com/spreadsheets/d/1IYY_tgx_IHuhSq3AJ5eI5OnqOPBNLWSHKh2a30DoXe8/edit?usp=sharing"",""นครศรีธรรมราช!I24"")"),0)</f>
        <v>0</v>
      </c>
      <c r="J84" s="195">
        <f ca="1">IFERROR(__xludf.DUMMYFUNCTION("IMPORTRANGE(""https://docs.google.com/spreadsheets/d/1IYY_tgx_IHuhSq3AJ5eI5OnqOPBNLWSHKh2a30DoXe8/edit?usp=sharing"",""นครศรีธรรมราช!J24"")"),0)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IFERROR(__xludf.DUMMYFUNCTION("IMPORTRANGE(""https://docs.google.com/spreadsheets/d/1IYY_tgx_IHuhSq3AJ5eI5OnqOPBNLWSHKh2a30DoXe8/edit?usp=sharing"",""นครศรีธรรมราช!I25"")"),0)</f>
        <v>0</v>
      </c>
      <c r="J85" s="195">
        <f ca="1">IFERROR(__xludf.DUMMYFUNCTION("IMPORTRANGE(""https://docs.google.com/spreadsheets/d/1IYY_tgx_IHuhSq3AJ5eI5OnqOPBNLWSHKh2a30DoXe8/edit?usp=sharing"",""นครศรีธรรมราช!J25"")"),0)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IFERROR(__xludf.DUMMYFUNCTION("IMPORTRANGE(""https://docs.google.com/spreadsheets/d/1IYY_tgx_IHuhSq3AJ5eI5OnqOPBNLWSHKh2a30DoXe8/edit?usp=sharing"",""นครศรีธรรมราช!I26"")"),0)</f>
        <v>0</v>
      </c>
      <c r="J86" s="210">
        <f ca="1">IFERROR(__xludf.DUMMYFUNCTION("IMPORTRANGE(""https://docs.google.com/spreadsheets/d/1IYY_tgx_IHuhSq3AJ5eI5OnqOPBNLWSHKh2a30DoXe8/edit?usp=sharing"",""นครศรีธรรมราช!J26"")"),0)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IFERROR(__xludf.DUMMYFUNCTION("IMPORTRANGE(""https://docs.google.com/spreadsheets/d/1IYY_tgx_IHuhSq3AJ5eI5OnqOPBNLWSHKh2a30DoXe8/edit?usp=sharing"",""นครศรีธรรมราช!I27"")"),0)</f>
        <v>0</v>
      </c>
      <c r="J87" s="210">
        <f ca="1">IFERROR(__xludf.DUMMYFUNCTION("IMPORTRANGE(""https://docs.google.com/spreadsheets/d/1IYY_tgx_IHuhSq3AJ5eI5OnqOPBNLWSHKh2a30DoXe8/edit?usp=sharing"",""นครศรีธรรมราช!J27"")"),0)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IFERROR(__xludf.DUMMYFUNCTION("IMPORTRANGE(""https://docs.google.com/spreadsheets/d/1IYY_tgx_IHuhSq3AJ5eI5OnqOPBNLWSHKh2a30DoXe8/edit?usp=sharing"",""นครศรีธรรมราช!I28"")"),0)</f>
        <v>0</v>
      </c>
      <c r="J88" s="210">
        <f ca="1">IFERROR(__xludf.DUMMYFUNCTION("IMPORTRANGE(""https://docs.google.com/spreadsheets/d/1IYY_tgx_IHuhSq3AJ5eI5OnqOPBNLWSHKh2a30DoXe8/edit?usp=sharing"",""นครศรีธรรมราช!J28"")"),0)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IFERROR(__xludf.DUMMYFUNCTION("IMPORTRANGE(""https://docs.google.com/spreadsheets/d/1IYY_tgx_IHuhSq3AJ5eI5OnqOPBNLWSHKh2a30DoXe8/edit?usp=sharing"",""นครศรีธรรมราช!J29"")"),0)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IFERROR(__xludf.DUMMYFUNCTION("IMPORTRANGE(""https://docs.google.com/spreadsheets/d/1IYY_tgx_IHuhSq3AJ5eI5OnqOPBNLWSHKh2a30DoXe8/edit?usp=sharing"",""นครศรีธรรมราช!J30"")"),0)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IFERROR(__xludf.DUMMYFUNCTION("IMPORTRANGE(""https://docs.google.com/spreadsheets/d/1IYY_tgx_IHuhSq3AJ5eI5OnqOPBNLWSHKh2a30DoXe8/edit?usp=sharing"",""นครศรีธรรมราช!J32"")"),7)</f>
        <v>7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IFERROR(__xludf.DUMMYFUNCTION("IMPORTRANGE(""https://docs.google.com/spreadsheets/d/1IYY_tgx_IHuhSq3AJ5eI5OnqOPBNLWSHKh2a30DoXe8/edit?usp=sharing"",""นครศรีธรรมราช!J33"")"),2)</f>
        <v>2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319800</v>
      </c>
      <c r="M94" s="156">
        <f t="shared" ca="1" si="52"/>
        <v>319800</v>
      </c>
      <c r="N94" s="156">
        <f t="shared" ca="1" si="52"/>
        <v>261351</v>
      </c>
      <c r="O94" s="155">
        <f t="shared" ref="O94:O96" ca="1" si="53">IF(L94&gt;0,N94*100/L94,0)</f>
        <v>81.723264540337709</v>
      </c>
      <c r="P94" s="155">
        <f t="shared" ref="P94:P96" ca="1" si="54">IF(M94&gt;0,N94*100/M94,0)</f>
        <v>81.723264540337709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319800</v>
      </c>
      <c r="M96" s="161">
        <f t="shared" ca="1" si="56"/>
        <v>319800</v>
      </c>
      <c r="N96" s="161">
        <f t="shared" ca="1" si="56"/>
        <v>261351</v>
      </c>
      <c r="O96" s="160">
        <f t="shared" ca="1" si="53"/>
        <v>81.723264540337709</v>
      </c>
      <c r="P96" s="160">
        <f t="shared" ca="1" si="54"/>
        <v>81.723264540337709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135000</v>
      </c>
      <c r="M98" s="173">
        <f ca="1">IFERROR(__xludf.DUMMYFUNCTION("IMPORTRANGE(""https://docs.google.com/spreadsheets/d/1Yj_ptqi66GCucihVvJfMjLAmec39IyEx_6qawtMGysU/edit?usp=sharing"",""สบก!AR84"")"),135000)</f>
        <v>135000</v>
      </c>
      <c r="N98" s="174">
        <f ca="1">IFERROR(__xludf.DUMMYFUNCTION("IMPORTRANGE(""https://docs.google.com/spreadsheets/d/1Yj_ptqi66GCucihVvJfMjLAmec39IyEx_6qawtMGysU/edit?usp=sharing"",""สบก!AS84"")"),76551)</f>
        <v>76551</v>
      </c>
      <c r="O98" s="175">
        <f ca="1">IF(L98&gt;0,N98*100/L98,0)</f>
        <v>56.704444444444448</v>
      </c>
      <c r="P98" s="175">
        <f ca="1">IF(M98&gt;0,N98*100/M98,0)</f>
        <v>56.704444444444448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IFERROR(__xludf.DUMMYFUNCTION("IMPORTRANGE(""https://docs.google.com/spreadsheets/d/1Yj_ptqi66GCucihVvJfMjLAmec39IyEx_6qawtMGysU/edit?usp=sharing"",""สบก!AN84"")"),0)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IFERROR(__xludf.DUMMYFUNCTION("IMPORTRANGE(""https://docs.google.com/spreadsheets/d/1Yj_ptqi66GCucihVvJfMjLAmec39IyEx_6qawtMGysU/edit?usp=sharing"",""สบก!AO84"")"),135000)</f>
        <v>135000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IFERROR(__xludf.DUMMYFUNCTION("IMPORTRANGE(""https://docs.google.com/spreadsheets/d/1IYY_tgx_IHuhSq3AJ5eI5OnqOPBNLWSHKh2a30DoXe8/edit?usp=sharing"",""นครศรีธรรมราช!J39"")"),0)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IFERROR(__xludf.DUMMYFUNCTION("IMPORTRANGE(""https://docs.google.com/spreadsheets/d/1IYY_tgx_IHuhSq3AJ5eI5OnqOPBNLWSHKh2a30DoXe8/edit?usp=sharing"",""นครศรีธรรมราช!J40"")"),1)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IFERROR(__xludf.DUMMYFUNCTION("IMPORTRANGE(""https://docs.google.com/spreadsheets/d/1IYY_tgx_IHuhSq3AJ5eI5OnqOPBNLWSHKh2a30DoXe8/edit?usp=sharing"",""นครศรีธรรมราช!J41"")"),1)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IFERROR(__xludf.DUMMYFUNCTION("IMPORTRANGE(""https://docs.google.com/spreadsheets/d/1IYY_tgx_IHuhSq3AJ5eI5OnqOPBNLWSHKh2a30DoXe8/edit?usp=sharing"",""นครศรีธรรมราช!J42"")"),1)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IFERROR(__xludf.DUMMYFUNCTION("IMPORTRANGE(""https://docs.google.com/spreadsheets/d/1IYY_tgx_IHuhSq3AJ5eI5OnqOPBNLWSHKh2a30DoXe8/edit?usp=sharing"",""นครศรีธรรมราช!I43"")"),1)</f>
        <v>1</v>
      </c>
      <c r="J108" s="210">
        <f ca="1">IFERROR(__xludf.DUMMYFUNCTION("IMPORTRANGE(""https://docs.google.com/spreadsheets/d/1IYY_tgx_IHuhSq3AJ5eI5OnqOPBNLWSHKh2a30DoXe8/edit?usp=sharing"",""นครศรีธรรมราช!J43"")"),1)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IFERROR(__xludf.DUMMYFUNCTION("IMPORTRANGE(""https://docs.google.com/spreadsheets/d/1IYY_tgx_IHuhSq3AJ5eI5OnqOPBNLWSHKh2a30DoXe8/edit?usp=sharing"",""นครศรีธรรมราช!I44"")"),7)</f>
        <v>7</v>
      </c>
      <c r="J109" s="210">
        <f ca="1">IFERROR(__xludf.DUMMYFUNCTION("IMPORTRANGE(""https://docs.google.com/spreadsheets/d/1IYY_tgx_IHuhSq3AJ5eI5OnqOPBNLWSHKh2a30DoXe8/edit?usp=sharing"",""นครศรีธรรมราช!J44"")"),7)</f>
        <v>7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IFERROR(__xludf.DUMMYFUNCTION("IMPORTRANGE(""https://docs.google.com/spreadsheets/d/1IYY_tgx_IHuhSq3AJ5eI5OnqOPBNLWSHKh2a30DoXe8/edit?usp=sharing"",""นครศรีธรรมราช!I45"")"),7)</f>
        <v>7</v>
      </c>
      <c r="J110" s="210">
        <f ca="1">IFERROR(__xludf.DUMMYFUNCTION("IMPORTRANGE(""https://docs.google.com/spreadsheets/d/1IYY_tgx_IHuhSq3AJ5eI5OnqOPBNLWSHKh2a30DoXe8/edit?usp=sharing"",""นครศรีธรรมราช!J45"")"),7)</f>
        <v>7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IFERROR(__xludf.DUMMYFUNCTION("IMPORTRANGE(""https://docs.google.com/spreadsheets/d/1IYY_tgx_IHuhSq3AJ5eI5OnqOPBNLWSHKh2a30DoXe8/edit?usp=sharing"",""นครศรีธรรมราช!I46"")"),7)</f>
        <v>7</v>
      </c>
      <c r="J111" s="210">
        <f ca="1">IFERROR(__xludf.DUMMYFUNCTION("IMPORTRANGE(""https://docs.google.com/spreadsheets/d/1IYY_tgx_IHuhSq3AJ5eI5OnqOPBNLWSHKh2a30DoXe8/edit?usp=sharing"",""นครศรีธรรมราช!J46"")"),7)</f>
        <v>7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IFERROR(__xludf.DUMMYFUNCTION("IMPORTRANGE(""https://docs.google.com/spreadsheets/d/1IYY_tgx_IHuhSq3AJ5eI5OnqOPBNLWSHKh2a30DoXe8/edit?usp=sharing"",""นครศรีธรรมราช!I47"")"),7)</f>
        <v>7</v>
      </c>
      <c r="J112" s="210">
        <f ca="1">IFERROR(__xludf.DUMMYFUNCTION("IMPORTRANGE(""https://docs.google.com/spreadsheets/d/1IYY_tgx_IHuhSq3AJ5eI5OnqOPBNLWSHKh2a30DoXe8/edit?usp=sharing"",""นครศรีธรรมราช!J47"")"),7)</f>
        <v>7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IFERROR(__xludf.DUMMYFUNCTION("IMPORTRANGE(""https://docs.google.com/spreadsheets/d/1IYY_tgx_IHuhSq3AJ5eI5OnqOPBNLWSHKh2a30DoXe8/edit?usp=sharing"",""นครศรีธรรมราช!I48"")"),2)</f>
        <v>2</v>
      </c>
      <c r="J113" s="210">
        <f ca="1">IFERROR(__xludf.DUMMYFUNCTION("IMPORTRANGE(""https://docs.google.com/spreadsheets/d/1IYY_tgx_IHuhSq3AJ5eI5OnqOPBNLWSHKh2a30DoXe8/edit?usp=sharing"",""นครศรีธรรมราช!J48"")"),2)</f>
        <v>2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IFERROR(__xludf.DUMMYFUNCTION("IMPORTRANGE(""https://docs.google.com/spreadsheets/d/1IYY_tgx_IHuhSq3AJ5eI5OnqOPBNLWSHKh2a30DoXe8/edit?usp=sharing"",""นครศรีธรรมราช!J49"")"),0)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IFERROR(__xludf.DUMMYFUNCTION("IMPORTRANGE(""https://docs.google.com/spreadsheets/d/1IYY_tgx_IHuhSq3AJ5eI5OnqOPBNLWSHKh2a30DoXe8/edit?usp=sharing"",""นครศรีธรรมราช!J50"")"),0)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IFERROR(__xludf.DUMMYFUNCTION("IMPORTRANGE(""https://docs.google.com/spreadsheets/d/1Yj_ptqi66GCucihVvJfMjLAmec39IyEx_6qawtMGysU/edit?usp=sharing"",""สบก!BA84"")"),0)</f>
        <v>0</v>
      </c>
      <c r="N122" s="174">
        <f ca="1">IFERROR(__xludf.DUMMYFUNCTION("IMPORTRANGE(""https://docs.google.com/spreadsheets/d/1Yj_ptqi66GCucihVvJfMjLAmec39IyEx_6qawtMGysU/edit?usp=sharing"",""สบก!BB84"")"),0)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IFERROR(__xludf.DUMMYFUNCTION("IMPORTRANGE(""https://docs.google.com/spreadsheets/d/1Yj_ptqi66GCucihVvJfMjLAmec39IyEx_6qawtMGysU/edit?usp=sharing"",""สบก!AW84"")"),0)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IFERROR(__xludf.DUMMYFUNCTION("IMPORTRANGE(""https://docs.google.com/spreadsheets/d/1Yj_ptqi66GCucihVvJfMjLAmec39IyEx_6qawtMGysU/edit?usp=sharing"",""สบก!AX84"")"),0)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IFERROR(__xludf.DUMMYFUNCTION("IMPORTRANGE(""https://docs.google.com/spreadsheets/d/1IYY_tgx_IHuhSq3AJ5eI5OnqOPBNLWSHKh2a30DoXe8/edit?usp=sharing"",""นครศรีธรรมราช!J58"")"),0)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IFERROR(__xludf.DUMMYFUNCTION("IMPORTRANGE(""https://docs.google.com/spreadsheets/d/1IYY_tgx_IHuhSq3AJ5eI5OnqOPBNLWSHKh2a30DoXe8/edit?usp=sharing"",""นครศรีธรรมราช!J59"")"),0)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IFERROR(__xludf.DUMMYFUNCTION("IMPORTRANGE(""https://docs.google.com/spreadsheets/d/1IYY_tgx_IHuhSq3AJ5eI5OnqOPBNLWSHKh2a30DoXe8/edit?usp=sharing"",""นครศรีธรรมราช!J60"")"),0)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IFERROR(__xludf.DUMMYFUNCTION("IMPORTRANGE(""https://docs.google.com/spreadsheets/d/1IYY_tgx_IHuhSq3AJ5eI5OnqOPBNLWSHKh2a30DoXe8/edit?usp=sharing"",""นครศรีธรรมราช!J61"")"),0)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IFERROR(__xludf.DUMMYFUNCTION("IMPORTRANGE(""https://docs.google.com/spreadsheets/d/1IYY_tgx_IHuhSq3AJ5eI5OnqOPBNLWSHKh2a30DoXe8/edit?usp=sharing"",""นครศรีธรรมราช!I62"")"),0)</f>
        <v>0</v>
      </c>
      <c r="J132" s="210">
        <f ca="1">IFERROR(__xludf.DUMMYFUNCTION("IMPORTRANGE(""https://docs.google.com/spreadsheets/d/1IYY_tgx_IHuhSq3AJ5eI5OnqOPBNLWSHKh2a30DoXe8/edit?usp=sharing"",""นครศรีธรรมราช!J62"")"),0)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IFERROR(__xludf.DUMMYFUNCTION("IMPORTRANGE(""https://docs.google.com/spreadsheets/d/1IYY_tgx_IHuhSq3AJ5eI5OnqOPBNLWSHKh2a30DoXe8/edit?usp=sharing"",""นครศรีธรรมราช!I63"")"),0)</f>
        <v>0</v>
      </c>
      <c r="J133" s="210">
        <f ca="1">IFERROR(__xludf.DUMMYFUNCTION("IMPORTRANGE(""https://docs.google.com/spreadsheets/d/1IYY_tgx_IHuhSq3AJ5eI5OnqOPBNLWSHKh2a30DoXe8/edit?usp=sharing"",""นครศรีธรรมราช!J63"")"),0)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IFERROR(__xludf.DUMMYFUNCTION("IMPORTRANGE(""https://docs.google.com/spreadsheets/d/1IYY_tgx_IHuhSq3AJ5eI5OnqOPBNLWSHKh2a30DoXe8/edit?usp=sharing"",""นครศรีธรรมราช!J64"")"),0)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IFERROR(__xludf.DUMMYFUNCTION("IMPORTRANGE(""https://docs.google.com/spreadsheets/d/1IYY_tgx_IHuhSq3AJ5eI5OnqOPBNLWSHKh2a30DoXe8/edit?usp=sharing"",""นครศรีธรรมราช!J65"")"),0)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3">
        <f ca="1">IFERROR(__xludf.DUMMYFUNCTION("IMPORTRANGE(""https://docs.google.com/spreadsheets/d/1IYY_tgx_IHuhSq3AJ5eI5OnqOPBNLWSHKh2a30DoXe8/edit?usp=sharing"",""นครศรีธรรมราช!J68"")"),102)</f>
        <v>102</v>
      </c>
      <c r="K138" s="274">
        <f ca="1">IF(I138&gt;0,J138*100/I138,0)</f>
        <v>102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818600</v>
      </c>
      <c r="M140" s="156">
        <f t="shared" ca="1" si="64"/>
        <v>822030</v>
      </c>
      <c r="N140" s="156">
        <f t="shared" ca="1" si="64"/>
        <v>646180.67000000004</v>
      </c>
      <c r="O140" s="155">
        <f t="shared" ref="O140:O142" ca="1" si="65">IF(L140&gt;0,N140*100/L140,0)</f>
        <v>78.93729171756658</v>
      </c>
      <c r="P140" s="155">
        <f t="shared" ref="P140:P142" ca="1" si="66">IF(M140&gt;0,N140*100/M140,0)</f>
        <v>78.607918202498695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818600</v>
      </c>
      <c r="M142" s="161">
        <f t="shared" ca="1" si="68"/>
        <v>822030</v>
      </c>
      <c r="N142" s="161">
        <f t="shared" ca="1" si="68"/>
        <v>646180.67000000004</v>
      </c>
      <c r="O142" s="160">
        <f t="shared" ca="1" si="65"/>
        <v>78.93729171756658</v>
      </c>
      <c r="P142" s="160">
        <f t="shared" ca="1" si="66"/>
        <v>78.607918202498695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818600</v>
      </c>
      <c r="M144" s="173">
        <f ca="1">IFERROR(__xludf.DUMMYFUNCTION("IMPORTRANGE(""https://docs.google.com/spreadsheets/d/1Yj_ptqi66GCucihVvJfMjLAmec39IyEx_6qawtMGysU/edit?usp=sharing"",""สบก!BJ84"")"),822030)</f>
        <v>822030</v>
      </c>
      <c r="N144" s="174">
        <f ca="1">IFERROR(__xludf.DUMMYFUNCTION("IMPORTRANGE(""https://docs.google.com/spreadsheets/d/1Yj_ptqi66GCucihVvJfMjLAmec39IyEx_6qawtMGysU/edit?usp=sharing"",""สบก!BK84"")"),646180.67)</f>
        <v>646180.67000000004</v>
      </c>
      <c r="O144" s="175">
        <f ca="1">IF(L144&gt;0,N144*100/L144,0)</f>
        <v>78.93729171756658</v>
      </c>
      <c r="P144" s="175">
        <f ca="1">IF(M144&gt;0,N144*100/M144,0)</f>
        <v>78.607918202498695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IFERROR(__xludf.DUMMYFUNCTION("IMPORTRANGE(""https://docs.google.com/spreadsheets/d/1Yj_ptqi66GCucihVvJfMjLAmec39IyEx_6qawtMGysU/edit?usp=sharing"",""สบก!BF84"")"),330100)</f>
        <v>330100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IFERROR(__xludf.DUMMYFUNCTION("IMPORTRANGE(""https://docs.google.com/spreadsheets/d/1Yj_ptqi66GCucihVvJfMjLAmec39IyEx_6qawtMGysU/edit?usp=sharing"",""สบก!BG84"")"),488500)</f>
        <v>488500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IFERROR(__xludf.DUMMYFUNCTION("IMPORTRANGE(""https://docs.google.com/spreadsheets/d/1IYY_tgx_IHuhSq3AJ5eI5OnqOPBNLWSHKh2a30DoXe8/edit?usp=sharing"",""นครศรีธรรมราช!I74"")"),4)</f>
        <v>4</v>
      </c>
      <c r="J149" s="281">
        <f ca="1">IFERROR(__xludf.DUMMYFUNCTION("IMPORTRANGE(""https://docs.google.com/spreadsheets/d/1IYY_tgx_IHuhSq3AJ5eI5OnqOPBNLWSHKh2a30DoXe8/edit?usp=sharing"",""นครศรีธรรมราช!J74"")"),3)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IFERROR(__xludf.DUMMYFUNCTION("IMPORTRANGE(""https://docs.google.com/spreadsheets/d/1IYY_tgx_IHuhSq3AJ5eI5OnqOPBNLWSHKh2a30DoXe8/edit?usp=sharing"",""นครศรีธรรมราช!J79"")"),0)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IFERROR(__xludf.DUMMYFUNCTION("IMPORTRANGE(""https://docs.google.com/spreadsheets/d/1IYY_tgx_IHuhSq3AJ5eI5OnqOPBNLWSHKh2a30DoXe8/edit?usp=sharing"",""นครศรีธรรมราช!J80"")"),1)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IFERROR(__xludf.DUMMYFUNCTION("IMPORTRANGE(""https://docs.google.com/spreadsheets/d/1IYY_tgx_IHuhSq3AJ5eI5OnqOPBNLWSHKh2a30DoXe8/edit?usp=sharing"",""นครศรีธรรมราช!J81"")"),1)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IFERROR(__xludf.DUMMYFUNCTION("IMPORTRANGE(""https://docs.google.com/spreadsheets/d/1IYY_tgx_IHuhSq3AJ5eI5OnqOPBNLWSHKh2a30DoXe8/edit?usp=sharing"",""นครศรีธรรมราช!J82"")"),1)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IFERROR(__xludf.DUMMYFUNCTION("IMPORTRANGE(""https://docs.google.com/spreadsheets/d/1IYY_tgx_IHuhSq3AJ5eI5OnqOPBNLWSHKh2a30DoXe8/edit?usp=sharing"",""นครศรีธรรมราช!I83"")"),4)</f>
        <v>4</v>
      </c>
      <c r="J158" s="195">
        <f ca="1">IFERROR(__xludf.DUMMYFUNCTION("IMPORTRANGE(""https://docs.google.com/spreadsheets/d/1IYY_tgx_IHuhSq3AJ5eI5OnqOPBNLWSHKh2a30DoXe8/edit?usp=sharing"",""นครศรีธรรมราช!J83"")"),3)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IFERROR(__xludf.DUMMYFUNCTION("IMPORTRANGE(""https://docs.google.com/spreadsheets/d/1IYY_tgx_IHuhSq3AJ5eI5OnqOPBNLWSHKh2a30DoXe8/edit?usp=sharing"",""นครศรีธรรมราช!J84"")"),103)</f>
        <v>103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IFERROR(__xludf.DUMMYFUNCTION("IMPORTRANGE(""https://docs.google.com/spreadsheets/d/1IYY_tgx_IHuhSq3AJ5eI5OnqOPBNLWSHKh2a30DoXe8/edit?usp=sharing"",""นครศรีธรรมราช!J85"")"),103)</f>
        <v>103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IFERROR(__xludf.DUMMYFUNCTION("IMPORTRANGE(""https://docs.google.com/spreadsheets/d/1IYY_tgx_IHuhSq3AJ5eI5OnqOPBNLWSHKh2a30DoXe8/edit?usp=sharing"",""นครศรีธรรมราช!J87"")"),0)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IFERROR(__xludf.DUMMYFUNCTION("IMPORTRANGE(""https://docs.google.com/spreadsheets/d/1IYY_tgx_IHuhSq3AJ5eI5OnqOPBNLWSHKh2a30DoXe8/edit?usp=sharing"",""นครศรีธรรมราช!J88"")"),0)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IFERROR(__xludf.DUMMYFUNCTION("IMPORTRANGE(""https://docs.google.com/spreadsheets/d/1IYY_tgx_IHuhSq3AJ5eI5OnqOPBNLWSHKh2a30DoXe8/edit?usp=sharing"",""นครศรีธรรมราช!J94"")"),0)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IFERROR(__xludf.DUMMYFUNCTION("IMPORTRANGE(""https://docs.google.com/spreadsheets/d/1IYY_tgx_IHuhSq3AJ5eI5OnqOPBNLWSHKh2a30DoXe8/edit?usp=sharing"",""นครศรีธรรมราช!J95"")"),1)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IFERROR(__xludf.DUMMYFUNCTION("IMPORTRANGE(""https://docs.google.com/spreadsheets/d/1IYY_tgx_IHuhSq3AJ5eI5OnqOPBNLWSHKh2a30DoXe8/edit?usp=sharing"",""นครศรีธรรมราช!J96"")"),1)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IFERROR(__xludf.DUMMYFUNCTION("IMPORTRANGE(""https://docs.google.com/spreadsheets/d/1IYY_tgx_IHuhSq3AJ5eI5OnqOPBNLWSHKh2a30DoXe8/edit?usp=sharing"",""นครศรีธรรมราช!J97"")"),1)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IFERROR(__xludf.DUMMYFUNCTION("IMPORTRANGE(""https://docs.google.com/spreadsheets/d/1IYY_tgx_IHuhSq3AJ5eI5OnqOPBNLWSHKh2a30DoXe8/edit?usp=sharing"",""นครศรีธรรมราช!I98"")"),4)</f>
        <v>4</v>
      </c>
      <c r="J173" s="195">
        <f ca="1">IFERROR(__xludf.DUMMYFUNCTION("IMPORTRANGE(""https://docs.google.com/spreadsheets/d/1IYY_tgx_IHuhSq3AJ5eI5OnqOPBNLWSHKh2a30DoXe8/edit?usp=sharing"",""นครศรีธรรมราช!J98"")"),4)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IFERROR(__xludf.DUMMYFUNCTION("IMPORTRANGE(""https://docs.google.com/spreadsheets/d/1IYY_tgx_IHuhSq3AJ5eI5OnqOPBNLWSHKh2a30DoXe8/edit?usp=sharing"",""นครศรีธรรมราช!J99"")"),1)</f>
        <v>1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IFERROR(__xludf.DUMMYFUNCTION("IMPORTRANGE(""https://docs.google.com/spreadsheets/d/1IYY_tgx_IHuhSq3AJ5eI5OnqOPBNLWSHKh2a30DoXe8/edit?usp=sharing"",""นครศรีธรรมราช!J100"")"),0)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IFERROR(__xludf.DUMMYFUNCTION("IMPORTRANGE(""https://docs.google.com/spreadsheets/d/1IYY_tgx_IHuhSq3AJ5eI5OnqOPBNLWSHKh2a30DoXe8/edit?usp=sharing"",""นครศรีธรรมราช!J101"")"),2)</f>
        <v>2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IFERROR(__xludf.DUMMYFUNCTION("IMPORTRANGE(""https://docs.google.com/spreadsheets/d/1IYY_tgx_IHuhSq3AJ5eI5OnqOPBNLWSHKh2a30DoXe8/edit?usp=sharing"",""นครศรีธรรมราช!J106"")"),0)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IFERROR(__xludf.DUMMYFUNCTION("IMPORTRANGE(""https://docs.google.com/spreadsheets/d/1IYY_tgx_IHuhSq3AJ5eI5OnqOPBNLWSHKh2a30DoXe8/edit?usp=sharing"",""นครศรีธรรมราช!J107"")"),1)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IFERROR(__xludf.DUMMYFUNCTION("IMPORTRANGE(""https://docs.google.com/spreadsheets/d/1IYY_tgx_IHuhSq3AJ5eI5OnqOPBNLWSHKh2a30DoXe8/edit?usp=sharing"",""นครศรีธรรมราช!J108"")"),1)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IFERROR(__xludf.DUMMYFUNCTION("IMPORTRANGE(""https://docs.google.com/spreadsheets/d/1IYY_tgx_IHuhSq3AJ5eI5OnqOPBNLWSHKh2a30DoXe8/edit?usp=sharing"",""นครศรีธรรมราช!J109"")"),1)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IFERROR(__xludf.DUMMYFUNCTION("IMPORTRANGE(""https://docs.google.com/spreadsheets/d/1IYY_tgx_IHuhSq3AJ5eI5OnqOPBNLWSHKh2a30DoXe8/edit?usp=sharing"",""นครศรีธรรมราช!I110"")"),2)</f>
        <v>2</v>
      </c>
      <c r="J185" s="210">
        <f ca="1">IFERROR(__xludf.DUMMYFUNCTION("IMPORTRANGE(""https://docs.google.com/spreadsheets/d/1IYY_tgx_IHuhSq3AJ5eI5OnqOPBNLWSHKh2a30DoXe8/edit?usp=sharing"",""นครศรีธรรมราช!J110"")"),0)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IFERROR(__xludf.DUMMYFUNCTION("IMPORTRANGE(""https://docs.google.com/spreadsheets/d/1IYY_tgx_IHuhSq3AJ5eI5OnqOPBNLWSHKh2a30DoXe8/edit?usp=sharing"",""นครศรีธรรมราช!I111"")"),2)</f>
        <v>2</v>
      </c>
      <c r="J186" s="210">
        <f ca="1">IFERROR(__xludf.DUMMYFUNCTION("IMPORTRANGE(""https://docs.google.com/spreadsheets/d/1IYY_tgx_IHuhSq3AJ5eI5OnqOPBNLWSHKh2a30DoXe8/edit?usp=sharing"",""นครศรีธรรมราช!J111"")"),2)</f>
        <v>2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IFERROR(__xludf.DUMMYFUNCTION("IMPORTRANGE(""https://docs.google.com/spreadsheets/d/1IYY_tgx_IHuhSq3AJ5eI5OnqOPBNLWSHKh2a30DoXe8/edit?usp=sharing"",""นครศรีธรรมราช!J112"")"),0)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IFERROR(__xludf.DUMMYFUNCTION("IMPORTRANGE(""https://docs.google.com/spreadsheets/d/1IYY_tgx_IHuhSq3AJ5eI5OnqOPBNLWSHKh2a30DoXe8/edit?usp=sharing"",""นครศรีธรรมราช!J113"")"),0)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IFERROR(__xludf.DUMMYFUNCTION("IMPORTRANGE(""https://docs.google.com/spreadsheets/d/1IYY_tgx_IHuhSq3AJ5eI5OnqOPBNLWSHKh2a30DoXe8/edit?usp=sharing"",""นครศรีธรรมราช!J119"")"),0)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IFERROR(__xludf.DUMMYFUNCTION("IMPORTRANGE(""https://docs.google.com/spreadsheets/d/1IYY_tgx_IHuhSq3AJ5eI5OnqOPBNLWSHKh2a30DoXe8/edit?usp=sharing"",""นครศรีธรรมราช!J120"")"),1)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IFERROR(__xludf.DUMMYFUNCTION("IMPORTRANGE(""https://docs.google.com/spreadsheets/d/1IYY_tgx_IHuhSq3AJ5eI5OnqOPBNLWSHKh2a30DoXe8/edit?usp=sharing"",""นครศรีธรรมราช!J121"")"),1)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IFERROR(__xludf.DUMMYFUNCTION("IMPORTRANGE(""https://docs.google.com/spreadsheets/d/1IYY_tgx_IHuhSq3AJ5eI5OnqOPBNLWSHKh2a30DoXe8/edit?usp=sharing"",""นครศรีธรรมราช!J122"")"),1)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5">
        <f ca="1">IFERROR(__xludf.DUMMYFUNCTION("IMPORTRANGE(""https://docs.google.com/spreadsheets/d/1IYY_tgx_IHuhSq3AJ5eI5OnqOPBNLWSHKh2a30DoXe8/edit?usp=sharing"",""นครศรีธรรมราช!J124"")"),0)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5">
        <f ca="1">IFERROR(__xludf.DUMMYFUNCTION("IMPORTRANGE(""https://docs.google.com/spreadsheets/d/1IYY_tgx_IHuhSq3AJ5eI5OnqOPBNLWSHKh2a30DoXe8/edit?usp=sharing"",""นครศรีธรรมราช!J125"")"),0)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IFERROR(__xludf.DUMMYFUNCTION("IMPORTRANGE(""https://docs.google.com/spreadsheets/d/1IYY_tgx_IHuhSq3AJ5eI5OnqOPBNLWSHKh2a30DoXe8/edit?usp=sharing"",""นครศรีธรรมราช!I126"")"),0)</f>
        <v>0</v>
      </c>
      <c r="J201" s="195">
        <f ca="1">IFERROR(__xludf.DUMMYFUNCTION("IMPORTRANGE(""https://docs.google.com/spreadsheets/d/1IYY_tgx_IHuhSq3AJ5eI5OnqOPBNLWSHKh2a30DoXe8/edit?usp=sharing"",""นครศรีธรรมราช!J126"")"),0)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IFERROR(__xludf.DUMMYFUNCTION("IMPORTRANGE(""https://docs.google.com/spreadsheets/d/1IYY_tgx_IHuhSq3AJ5eI5OnqOPBNLWSHKh2a30DoXe8/edit?usp=sharing"",""นครศรีธรรมราช!J127"")"),0)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IFERROR(__xludf.DUMMYFUNCTION("IMPORTRANGE(""https://docs.google.com/spreadsheets/d/1IYY_tgx_IHuhSq3AJ5eI5OnqOPBNLWSHKh2a30DoXe8/edit?usp=sharing"",""นครศรีธรรมราช!J128"")"),0)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IFERROR(__xludf.DUMMYFUNCTION("IMPORTRANGE(""https://docs.google.com/spreadsheets/d/1IYY_tgx_IHuhSq3AJ5eI5OnqOPBNLWSHKh2a30DoXe8/edit?usp=sharing"",""นครศรีธรรมราช!J129"")"),102)</f>
        <v>102</v>
      </c>
      <c r="K204" s="291">
        <f ca="1">IF(I204&gt;0,J204*100/I204,0)</f>
        <v>102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IFERROR(__xludf.DUMMYFUNCTION("IMPORTRANGE(""https://docs.google.com/spreadsheets/d/1IYY_tgx_IHuhSq3AJ5eI5OnqOPBNLWSHKh2a30DoXe8/edit?usp=sharing"",""นครศรีธรรมราช!J134"")"),0)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IFERROR(__xludf.DUMMYFUNCTION("IMPORTRANGE(""https://docs.google.com/spreadsheets/d/1IYY_tgx_IHuhSq3AJ5eI5OnqOPBNLWSHKh2a30DoXe8/edit?usp=sharing"",""นครศรีธรรมราช!J135"")"),1)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IFERROR(__xludf.DUMMYFUNCTION("IMPORTRANGE(""https://docs.google.com/spreadsheets/d/1IYY_tgx_IHuhSq3AJ5eI5OnqOPBNLWSHKh2a30DoXe8/edit?usp=sharing"",""นครศรีธรรมราช!J136"")"),1)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IFERROR(__xludf.DUMMYFUNCTION("IMPORTRANGE(""https://docs.google.com/spreadsheets/d/1IYY_tgx_IHuhSq3AJ5eI5OnqOPBNLWSHKh2a30DoXe8/edit?usp=sharing"",""นครศรีธรรมราช!J137"")"),1)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0">
        <f ca="1">IFERROR(__xludf.DUMMYFUNCTION("IMPORTRANGE(""https://docs.google.com/spreadsheets/d/1IYY_tgx_IHuhSq3AJ5eI5OnqOPBNLWSHKh2a30DoXe8/edit?usp=sharing"",""นครศรีธรรมราช!J138"")"),102)</f>
        <v>102</v>
      </c>
      <c r="K213" s="230">
        <f ca="1">IF(I213&gt;0,J213*100/I213,0)</f>
        <v>102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IFERROR(__xludf.DUMMYFUNCTION("IMPORTRANGE(""https://docs.google.com/spreadsheets/d/1IYY_tgx_IHuhSq3AJ5eI5OnqOPBNLWSHKh2a30DoXe8/edit?usp=sharing"",""นครศรีธรรมราช!I140"")"),0)</f>
        <v>0</v>
      </c>
      <c r="J215" s="210">
        <f ca="1">IFERROR(__xludf.DUMMYFUNCTION("IMPORTRANGE(""https://docs.google.com/spreadsheets/d/1IYY_tgx_IHuhSq3AJ5eI5OnqOPBNLWSHKh2a30DoXe8/edit?usp=sharing"",""นครศรีธรรมราช!J140"")"),0)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IFERROR(__xludf.DUMMYFUNCTION("IMPORTRANGE(""https://docs.google.com/spreadsheets/d/1IYY_tgx_IHuhSq3AJ5eI5OnqOPBNLWSHKh2a30DoXe8/edit?usp=sharing"",""นครศรีธรรมราช!I141"")"),6)</f>
        <v>6</v>
      </c>
      <c r="J216" s="210">
        <f ca="1">IFERROR(__xludf.DUMMYFUNCTION("IMPORTRANGE(""https://docs.google.com/spreadsheets/d/1IYY_tgx_IHuhSq3AJ5eI5OnqOPBNLWSHKh2a30DoXe8/edit?usp=sharing"",""นครศรีธรรมราช!J141"")"),6)</f>
        <v>6</v>
      </c>
      <c r="K216" s="230">
        <f t="shared" ca="1" si="71"/>
        <v>100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IFERROR(__xludf.DUMMYFUNCTION("IMPORTRANGE(""https://docs.google.com/spreadsheets/d/1IYY_tgx_IHuhSq3AJ5eI5OnqOPBNLWSHKh2a30DoXe8/edit?usp=sharing"",""นครศรีธรรมราช!J142"")"),0)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IFERROR(__xludf.DUMMYFUNCTION("IMPORTRANGE(""https://docs.google.com/spreadsheets/d/1IYY_tgx_IHuhSq3AJ5eI5OnqOPBNLWSHKh2a30DoXe8/edit?usp=sharing"",""นครศรีธรรมราช!J143"")"),0)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3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IFERROR(__xludf.DUMMYFUNCTION("IMPORTRANGE(""https://docs.google.com/spreadsheets/d/1Yj_ptqi66GCucihVvJfMjLAmec39IyEx_6qawtMGysU/edit?usp=sharing"",""สบก!BS84"")"),21125)</f>
        <v>21125</v>
      </c>
      <c r="N224" s="174">
        <f ca="1">IFERROR(__xludf.DUMMYFUNCTION("IMPORTRANGE(""https://docs.google.com/spreadsheets/d/1Yj_ptqi66GCucihVvJfMjLAmec39IyEx_6qawtMGysU/edit?usp=sharing"",""สบก!BT84"")"),21125)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IFERROR(__xludf.DUMMYFUNCTION("IMPORTRANGE(""https://docs.google.com/spreadsheets/d/1Yj_ptqi66GCucihVvJfMjLAmec39IyEx_6qawtMGysU/edit?usp=sharing"",""สบก!BO84"")"),0)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IFERROR(__xludf.DUMMYFUNCTION("IMPORTRANGE(""https://docs.google.com/spreadsheets/d/1Yj_ptqi66GCucihVvJfMjLAmec39IyEx_6qawtMGysU/edit?usp=sharing"",""สบก!BP84"")"),21125)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3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IFERROR(__xludf.DUMMYFUNCTION("IMPORTRANGE(""https://docs.google.com/spreadsheets/d/1IYY_tgx_IHuhSq3AJ5eI5OnqOPBNLWSHKh2a30DoXe8/edit?usp=sharing"",""นครศรีธรรมราช!J151"")"),0)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IFERROR(__xludf.DUMMYFUNCTION("IMPORTRANGE(""https://docs.google.com/spreadsheets/d/1IYY_tgx_IHuhSq3AJ5eI5OnqOPBNLWSHKh2a30DoXe8/edit?usp=sharing"",""นครศรีธรรมราช!J152"")"),1)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IFERROR(__xludf.DUMMYFUNCTION("IMPORTRANGE(""https://docs.google.com/spreadsheets/d/1IYY_tgx_IHuhSq3AJ5eI5OnqOPBNLWSHKh2a30DoXe8/edit?usp=sharing"",""นครศรีธรรมราช!J153"")"),1)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IFERROR(__xludf.DUMMYFUNCTION("IMPORTRANGE(""https://docs.google.com/spreadsheets/d/1IYY_tgx_IHuhSq3AJ5eI5OnqOPBNLWSHKh2a30DoXe8/edit?usp=sharing"",""นครศรีธรรมราช!J154"")"),1)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5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IFERROR(__xludf.DUMMYFUNCTION("IMPORTRANGE(""https://docs.google.com/spreadsheets/d/1IYY_tgx_IHuhSq3AJ5eI5OnqOPBNLWSHKh2a30DoXe8/edit?usp=sharing"",""นครศรีธรรมราช!J156"")"),1)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IFERROR(__xludf.DUMMYFUNCTION("IMPORTRANGE(""https://docs.google.com/spreadsheets/d/1IYY_tgx_IHuhSq3AJ5eI5OnqOPBNLWSHKh2a30DoXe8/edit?usp=sharing"",""นครศรีธรรมราช!J157"")"),0)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IFERROR(__xludf.DUMMYFUNCTION("IMPORTRANGE(""https://docs.google.com/spreadsheets/d/1IYY_tgx_IHuhSq3AJ5eI5OnqOPBNLWSHKh2a30DoXe8/edit?usp=sharing"",""นครศรีธรรมราช!I158"")"),0)</f>
        <v>0</v>
      </c>
      <c r="J238" s="273">
        <f ca="1">IFERROR(__xludf.DUMMYFUNCTION("IMPORTRANGE(""https://docs.google.com/spreadsheets/d/1IYY_tgx_IHuhSq3AJ5eI5OnqOPBNLWSHKh2a30DoXe8/edit?usp=sharing"",""นครศรีธรรมราช!J158"")"),0)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IFERROR(__xludf.DUMMYFUNCTION("IMPORTRANGE(""https://docs.google.com/spreadsheets/d/1IYY_tgx_IHuhSq3AJ5eI5OnqOPBNLWSHKh2a30DoXe8/edit?usp=sharing"",""นครศรีธรรมราช!J161"")"),0)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IFERROR(__xludf.DUMMYFUNCTION("IMPORTRANGE(""https://docs.google.com/spreadsheets/d/1IYY_tgx_IHuhSq3AJ5eI5OnqOPBNLWSHKh2a30DoXe8/edit?usp=sharing"",""นครศรีธรรมราช!J162"")"),0)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IFERROR(__xludf.DUMMYFUNCTION("IMPORTRANGE(""https://docs.google.com/spreadsheets/d/1IYY_tgx_IHuhSq3AJ5eI5OnqOPBNLWSHKh2a30DoXe8/edit?usp=sharing"",""นครศรีธรรมราช!J163"")"),0)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IFERROR(__xludf.DUMMYFUNCTION("IMPORTRANGE(""https://docs.google.com/spreadsheets/d/1IYY_tgx_IHuhSq3AJ5eI5OnqOPBNLWSHKh2a30DoXe8/edit?usp=sharing"",""นครศรีธรรมราช!I164"")"),0)</f>
        <v>0</v>
      </c>
      <c r="J244" s="194">
        <f ca="1">IFERROR(__xludf.DUMMYFUNCTION("IMPORTRANGE(""https://docs.google.com/spreadsheets/d/1IYY_tgx_IHuhSq3AJ5eI5OnqOPBNLWSHKh2a30DoXe8/edit?usp=sharing"",""นครศรีธรรมราช!J164"")"),0)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IFERROR(__xludf.DUMMYFUNCTION("IMPORTRANGE(""https://docs.google.com/spreadsheets/d/1IYY_tgx_IHuhSq3AJ5eI5OnqOPBNLWSHKh2a30DoXe8/edit?usp=sharing"",""นครศรีธรรมราช!J165"")"),0)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IFERROR(__xludf.DUMMYFUNCTION("IMPORTRANGE(""https://docs.google.com/spreadsheets/d/1Yj_ptqi66GCucihVvJfMjLAmec39IyEx_6qawtMGysU/edit?usp=sharing"",""สบก!CB84"")"),0)</f>
        <v>0</v>
      </c>
      <c r="N254" s="174">
        <f ca="1">IFERROR(__xludf.DUMMYFUNCTION("IMPORTRANGE(""https://docs.google.com/spreadsheets/d/1Yj_ptqi66GCucihVvJfMjLAmec39IyEx_6qawtMGysU/edit?usp=sharing"",""สบก!CC84"")"),0)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IFERROR(__xludf.DUMMYFUNCTION("IMPORTRANGE(""https://docs.google.com/spreadsheets/d/1Yj_ptqi66GCucihVvJfMjLAmec39IyEx_6qawtMGysU/edit?usp=sharing"",""สบก!BX84"")"),0)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IFERROR(__xludf.DUMMYFUNCTION("IMPORTRANGE(""https://docs.google.com/spreadsheets/d/1Yj_ptqi66GCucihVvJfMjLAmec39IyEx_6qawtMGysU/edit?usp=sharing"",""สบก!BY84"")"),0)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IFERROR(__xludf.DUMMYFUNCTION("IMPORTRANGE(""https://docs.google.com/spreadsheets/d/1IYY_tgx_IHuhSq3AJ5eI5OnqOPBNLWSHKh2a30DoXe8/edit?usp=sharing"",""นครศรีธรรมราช!J175"")"),0)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IFERROR(__xludf.DUMMYFUNCTION("IMPORTRANGE(""https://docs.google.com/spreadsheets/d/1IYY_tgx_IHuhSq3AJ5eI5OnqOPBNLWSHKh2a30DoXe8/edit?usp=sharing"",""นครศรีธรรมราช!J176"")"),0)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IFERROR(__xludf.DUMMYFUNCTION("IMPORTRANGE(""https://docs.google.com/spreadsheets/d/1IYY_tgx_IHuhSq3AJ5eI5OnqOPBNLWSHKh2a30DoXe8/edit?usp=sharing"",""นครศรีธรรมราช!J177"")"),0)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IFERROR(__xludf.DUMMYFUNCTION("IMPORTRANGE(""https://docs.google.com/spreadsheets/d/1IYY_tgx_IHuhSq3AJ5eI5OnqOPBNLWSHKh2a30DoXe8/edit?usp=sharing"",""นครศรีธรรมราช!J178"")"),0)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IFERROR(__xludf.DUMMYFUNCTION("IMPORTRANGE(""https://docs.google.com/spreadsheets/d/1IYY_tgx_IHuhSq3AJ5eI5OnqOPBNLWSHKh2a30DoXe8/edit?usp=sharing"",""นครศรีธรรมราช!I179"")"),0)</f>
        <v>0</v>
      </c>
      <c r="J264" s="195">
        <f ca="1">IFERROR(__xludf.DUMMYFUNCTION("IMPORTRANGE(""https://docs.google.com/spreadsheets/d/1IYY_tgx_IHuhSq3AJ5eI5OnqOPBNLWSHKh2a30DoXe8/edit?usp=sharing"",""นครศรีธรรมราช!J179"")"),0)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IFERROR(__xludf.DUMMYFUNCTION("IMPORTRANGE(""https://docs.google.com/spreadsheets/d/1IYY_tgx_IHuhSq3AJ5eI5OnqOPBNLWSHKh2a30DoXe8/edit?usp=sharing"",""นครศรีธรรมราช!I180"")"),0)</f>
        <v>0</v>
      </c>
      <c r="J265" s="195">
        <f ca="1">IFERROR(__xludf.DUMMYFUNCTION("IMPORTRANGE(""https://docs.google.com/spreadsheets/d/1IYY_tgx_IHuhSq3AJ5eI5OnqOPBNLWSHKh2a30DoXe8/edit?usp=sharing"",""นครศรีธรรมราช!J180"")"),0)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IFERROR(__xludf.DUMMYFUNCTION("IMPORTRANGE(""https://docs.google.com/spreadsheets/d/1IYY_tgx_IHuhSq3AJ5eI5OnqOPBNLWSHKh2a30DoXe8/edit?usp=sharing"",""นครศรีธรรมราช!I181"")"),0)</f>
        <v>0</v>
      </c>
      <c r="J266" s="195">
        <f ca="1">IFERROR(__xludf.DUMMYFUNCTION("IMPORTRANGE(""https://docs.google.com/spreadsheets/d/1IYY_tgx_IHuhSq3AJ5eI5OnqOPBNLWSHKh2a30DoXe8/edit?usp=sharing"",""นครศรีธรรมราช!J181"")"),0)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IFERROR(__xludf.DUMMYFUNCTION("IMPORTRANGE(""https://docs.google.com/spreadsheets/d/1IYY_tgx_IHuhSq3AJ5eI5OnqOPBNLWSHKh2a30DoXe8/edit?usp=sharing"",""นครศรีธรรมราช!I182"")"),0)</f>
        <v>0</v>
      </c>
      <c r="J267" s="195">
        <f ca="1">IFERROR(__xludf.DUMMYFUNCTION("IMPORTRANGE(""https://docs.google.com/spreadsheets/d/1IYY_tgx_IHuhSq3AJ5eI5OnqOPBNLWSHKh2a30DoXe8/edit?usp=sharing"",""นครศรีธรรมราช!J182"")"),0)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IFERROR(__xludf.DUMMYFUNCTION("IMPORTRANGE(""https://docs.google.com/spreadsheets/d/1IYY_tgx_IHuhSq3AJ5eI5OnqOPBNLWSHKh2a30DoXe8/edit?usp=sharing"",""นครศรีธรรมราช!J183"")"),0)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IFERROR(__xludf.DUMMYFUNCTION("IMPORTRANGE(""https://docs.google.com/spreadsheets/d/1Yj_ptqi66GCucihVvJfMjLAmec39IyEx_6qawtMGysU/edit?usp=sharing"",""สบก!CK84"")"),0)</f>
        <v>0</v>
      </c>
      <c r="N275" s="174">
        <f ca="1">IFERROR(__xludf.DUMMYFUNCTION("IMPORTRANGE(""https://docs.google.com/spreadsheets/d/1Yj_ptqi66GCucihVvJfMjLAmec39IyEx_6qawtMGysU/edit?usp=sharing"",""สบก!CL84"")"),0)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IFERROR(__xludf.DUMMYFUNCTION("IMPORTRANGE(""https://docs.google.com/spreadsheets/d/1Yj_ptqi66GCucihVvJfMjLAmec39IyEx_6qawtMGysU/edit?usp=sharing"",""สบก!CG84"")"),0)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IFERROR(__xludf.DUMMYFUNCTION("IMPORTRANGE(""https://docs.google.com/spreadsheets/d/1Yj_ptqi66GCucihVvJfMjLAmec39IyEx_6qawtMGysU/edit?usp=sharing"",""สบก!CH84"")"),0)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IFERROR(__xludf.DUMMYFUNCTION("IMPORTRANGE(""https://docs.google.com/spreadsheets/d/1IYY_tgx_IHuhSq3AJ5eI5OnqOPBNLWSHKh2a30DoXe8/edit?usp=sharing"",""นครศรีธรรมราช!J191"")"),0)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IFERROR(__xludf.DUMMYFUNCTION("IMPORTRANGE(""https://docs.google.com/spreadsheets/d/1IYY_tgx_IHuhSq3AJ5eI5OnqOPBNLWSHKh2a30DoXe8/edit?usp=sharing"",""นครศรีธรรมราช!J192"")"),0)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IFERROR(__xludf.DUMMYFUNCTION("IMPORTRANGE(""https://docs.google.com/spreadsheets/d/1IYY_tgx_IHuhSq3AJ5eI5OnqOPBNLWSHKh2a30DoXe8/edit?usp=sharing"",""นครศรีธรรมราช!J193"")"),0)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IFERROR(__xludf.DUMMYFUNCTION("IMPORTRANGE(""https://docs.google.com/spreadsheets/d/1IYY_tgx_IHuhSq3AJ5eI5OnqOPBNLWSHKh2a30DoXe8/edit?usp=sharing"",""นครศรีธรรมราช!J194"")"),0)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IFERROR(__xludf.DUMMYFUNCTION("IMPORTRANGE(""https://docs.google.com/spreadsheets/d/1IYY_tgx_IHuhSq3AJ5eI5OnqOPBNLWSHKh2a30DoXe8/edit?usp=sharing"",""นครศรีธรรมราช!I195"")"),0)</f>
        <v>0</v>
      </c>
      <c r="J285" s="195">
        <f ca="1">IFERROR(__xludf.DUMMYFUNCTION("IMPORTRANGE(""https://docs.google.com/spreadsheets/d/1IYY_tgx_IHuhSq3AJ5eI5OnqOPBNLWSHKh2a30DoXe8/edit?usp=sharing"",""นครศรีธรรมราช!J195"")"),0)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IFERROR(__xludf.DUMMYFUNCTION("IMPORTRANGE(""https://docs.google.com/spreadsheets/d/1IYY_tgx_IHuhSq3AJ5eI5OnqOPBNLWSHKh2a30DoXe8/edit?usp=sharing"",""นครศรีธรรมราช!J196"")"),0)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IFERROR(__xludf.DUMMYFUNCTION("IMPORTRANGE(""https://docs.google.com/spreadsheets/d/1IYY_tgx_IHuhSq3AJ5eI5OnqOPBNLWSHKh2a30DoXe8/edit?usp=sharing"",""นครศรีธรรมราช!J197"")"),0)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IFERROR(__xludf.DUMMYFUNCTION("IMPORTRANGE(""https://docs.google.com/spreadsheets/d/1Yj_ptqi66GCucihVvJfMjLAmec39IyEx_6qawtMGysU/edit?usp=sharing"",""สบก!CT84"")"),0)</f>
        <v>0</v>
      </c>
      <c r="N294" s="174">
        <f ca="1">IFERROR(__xludf.DUMMYFUNCTION("IMPORTRANGE(""https://docs.google.com/spreadsheets/d/1Yj_ptqi66GCucihVvJfMjLAmec39IyEx_6qawtMGysU/edit?usp=sharing"",""สบก!CU84"")"),0)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IFERROR(__xludf.DUMMYFUNCTION("IMPORTRANGE(""https://docs.google.com/spreadsheets/d/1Yj_ptqi66GCucihVvJfMjLAmec39IyEx_6qawtMGysU/edit?usp=sharing"",""สบก!CP84"")"),0)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IFERROR(__xludf.DUMMYFUNCTION("IMPORTRANGE(""https://docs.google.com/spreadsheets/d/1Yj_ptqi66GCucihVvJfMjLAmec39IyEx_6qawtMGysU/edit?usp=sharing"",""สบก!CQ84"")"),0)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IFERROR(__xludf.DUMMYFUNCTION("IMPORTRANGE(""https://docs.google.com/spreadsheets/d/1IYY_tgx_IHuhSq3AJ5eI5OnqOPBNLWSHKh2a30DoXe8/edit?usp=sharing"",""นครศรีธรรมราช!J205"")"),0)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IFERROR(__xludf.DUMMYFUNCTION("IMPORTRANGE(""https://docs.google.com/spreadsheets/d/1IYY_tgx_IHuhSq3AJ5eI5OnqOPBNLWSHKh2a30DoXe8/edit?usp=sharing"",""นครศรีธรรมราช!J206"")"),0)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IFERROR(__xludf.DUMMYFUNCTION("IMPORTRANGE(""https://docs.google.com/spreadsheets/d/1IYY_tgx_IHuhSq3AJ5eI5OnqOPBNLWSHKh2a30DoXe8/edit?usp=sharing"",""นครศรีธรรมราช!J207"")"),0)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IFERROR(__xludf.DUMMYFUNCTION("IMPORTRANGE(""https://docs.google.com/spreadsheets/d/1IYY_tgx_IHuhSq3AJ5eI5OnqOPBNLWSHKh2a30DoXe8/edit?usp=sharing"",""นครศรีธรรมราช!J208"")"),0)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IFERROR(__xludf.DUMMYFUNCTION("IMPORTRANGE(""https://docs.google.com/spreadsheets/d/1IYY_tgx_IHuhSq3AJ5eI5OnqOPBNLWSHKh2a30DoXe8/edit?usp=sharing"",""นครศรีธรรมราช!I209"")"),0)</f>
        <v>0</v>
      </c>
      <c r="J304" s="210">
        <f ca="1">IFERROR(__xludf.DUMMYFUNCTION("IMPORTRANGE(""https://docs.google.com/spreadsheets/d/1IYY_tgx_IHuhSq3AJ5eI5OnqOPBNLWSHKh2a30DoXe8/edit?usp=sharing"",""นครศรีธรรมราช!J209"")"),0)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IFERROR(__xludf.DUMMYFUNCTION("IMPORTRANGE(""https://docs.google.com/spreadsheets/d/1IYY_tgx_IHuhSq3AJ5eI5OnqOPBNLWSHKh2a30DoXe8/edit?usp=sharing"",""นครศรีธรรมราช!I211"")"),0)</f>
        <v>0</v>
      </c>
      <c r="J306" s="210">
        <f ca="1">IFERROR(__xludf.DUMMYFUNCTION("IMPORTRANGE(""https://docs.google.com/spreadsheets/d/1IYY_tgx_IHuhSq3AJ5eI5OnqOPBNLWSHKh2a30DoXe8/edit?usp=sharing"",""นครศรีธรรมราช!J211"")"),0)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IFERROR(__xludf.DUMMYFUNCTION("IMPORTRANGE(""https://docs.google.com/spreadsheets/d/1IYY_tgx_IHuhSq3AJ5eI5OnqOPBNLWSHKh2a30DoXe8/edit?usp=sharing"",""นครศรีธรรมราช!J212"")"),0)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IFERROR(__xludf.DUMMYFUNCTION("IMPORTRANGE(""https://docs.google.com/spreadsheets/d/1Yj_ptqi66GCucihVvJfMjLAmec39IyEx_6qawtMGysU/edit?usp=sharing"",""สบก!DC84"")"),0)</f>
        <v>0</v>
      </c>
      <c r="N314" s="174">
        <f ca="1">IFERROR(__xludf.DUMMYFUNCTION("IMPORTRANGE(""https://docs.google.com/spreadsheets/d/1Yj_ptqi66GCucihVvJfMjLAmec39IyEx_6qawtMGysU/edit?usp=sharing"",""สบก!DD84"")"),0)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IFERROR(__xludf.DUMMYFUNCTION("IMPORTRANGE(""https://docs.google.com/spreadsheets/d/1Yj_ptqi66GCucihVvJfMjLAmec39IyEx_6qawtMGysU/edit?usp=sharing"",""สบก!CY84"")"),0)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IFERROR(__xludf.DUMMYFUNCTION("IMPORTRANGE(""https://docs.google.com/spreadsheets/d/1Yj_ptqi66GCucihVvJfMjLAmec39IyEx_6qawtMGysU/edit?usp=sharing"",""สบก!CZ84"")"),0)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IFERROR(__xludf.DUMMYFUNCTION("IMPORTRANGE(""https://docs.google.com/spreadsheets/d/1IYY_tgx_IHuhSq3AJ5eI5OnqOPBNLWSHKh2a30DoXe8/edit?usp=sharing"",""นครศรีธรรมราช!J220"")"),0)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IFERROR(__xludf.DUMMYFUNCTION("IMPORTRANGE(""https://docs.google.com/spreadsheets/d/1IYY_tgx_IHuhSq3AJ5eI5OnqOPBNLWSHKh2a30DoXe8/edit?usp=sharing"",""นครศรีธรรมราช!J221"")"),0)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IFERROR(__xludf.DUMMYFUNCTION("IMPORTRANGE(""https://docs.google.com/spreadsheets/d/1IYY_tgx_IHuhSq3AJ5eI5OnqOPBNLWSHKh2a30DoXe8/edit?usp=sharing"",""นครศรีธรรมราช!J222"")"),0)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IFERROR(__xludf.DUMMYFUNCTION("IMPORTRANGE(""https://docs.google.com/spreadsheets/d/1IYY_tgx_IHuhSq3AJ5eI5OnqOPBNLWSHKh2a30DoXe8/edit?usp=sharing"",""นครศรีธรรมราช!J223"")"),0)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IFERROR(__xludf.DUMMYFUNCTION("IMPORTRANGE(""https://docs.google.com/spreadsheets/d/1IYY_tgx_IHuhSq3AJ5eI5OnqOPBNLWSHKh2a30DoXe8/edit?usp=sharing"",""นครศรีธรรมราช!I224"")"),0)</f>
        <v>0</v>
      </c>
      <c r="J324" s="210">
        <f ca="1">IFERROR(__xludf.DUMMYFUNCTION("IMPORTRANGE(""https://docs.google.com/spreadsheets/d/1IYY_tgx_IHuhSq3AJ5eI5OnqOPBNLWSHKh2a30DoXe8/edit?usp=sharing"",""นครศรีธรรมราช!J224"")"),0)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IFERROR(__xludf.DUMMYFUNCTION("IMPORTRANGE(""https://docs.google.com/spreadsheets/d/1IYY_tgx_IHuhSq3AJ5eI5OnqOPBNLWSHKh2a30DoXe8/edit?usp=sharing"",""นครศรีธรรมราช!J225"")"),0)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IFERROR(__xludf.DUMMYFUNCTION("IMPORTRANGE(""https://docs.google.com/spreadsheets/d/1IYY_tgx_IHuhSq3AJ5eI5OnqOPBNLWSHKh2a30DoXe8/edit?usp=sharing"",""นครศรีธรรมราช!J226"")"),0)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IFERROR(__xludf.DUMMYFUNCTION("IMPORTRANGE(""https://docs.google.com/spreadsheets/d/1IYY_tgx_IHuhSq3AJ5eI5OnqOPBNLWSHKh2a30DoXe8/edit?usp=sharing"",""นครศรีธรรมราช!I228"")"),650)</f>
        <v>650</v>
      </c>
      <c r="J328" s="345">
        <f ca="1">IFERROR(__xludf.DUMMYFUNCTION("IMPORTRANGE(""https://docs.google.com/spreadsheets/d/1IYY_tgx_IHuhSq3AJ5eI5OnqOPBNLWSHKh2a30DoXe8/edit?usp=sharing"",""นครศรีธรรมราช!J228"")"),336)</f>
        <v>336</v>
      </c>
      <c r="K328" s="323">
        <f ca="1">IF(I328&gt;0,J328*100/I328,0)</f>
        <v>51.692307692307693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769440</v>
      </c>
      <c r="M329" s="156">
        <f t="shared" ca="1" si="98"/>
        <v>920820</v>
      </c>
      <c r="N329" s="156">
        <f t="shared" ca="1" si="98"/>
        <v>758568.71</v>
      </c>
      <c r="O329" s="155">
        <f t="shared" ref="O329:O331" ca="1" si="99">IF(L329&gt;0,N329*100/L329,0)</f>
        <v>98.587116604283636</v>
      </c>
      <c r="P329" s="155">
        <f t="shared" ref="P329:P331" ca="1" si="100">IF(M329&gt;0,N329*100/M329,0)</f>
        <v>82.37969527160574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769440</v>
      </c>
      <c r="M331" s="161">
        <f t="shared" ca="1" si="102"/>
        <v>920820</v>
      </c>
      <c r="N331" s="161">
        <f t="shared" ca="1" si="102"/>
        <v>758568.71</v>
      </c>
      <c r="O331" s="160">
        <f t="shared" ca="1" si="99"/>
        <v>98.587116604283636</v>
      </c>
      <c r="P331" s="160">
        <f t="shared" ca="1" si="100"/>
        <v>82.37969527160574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755940</v>
      </c>
      <c r="M333" s="173">
        <f ca="1">IFERROR(__xludf.DUMMYFUNCTION("IMPORTRANGE(""https://docs.google.com/spreadsheets/d/1Yj_ptqi66GCucihVvJfMjLAmec39IyEx_6qawtMGysU/edit?usp=sharing"",""สบก!DL84"")"),907320)</f>
        <v>907320</v>
      </c>
      <c r="N333" s="174">
        <f ca="1">IFERROR(__xludf.DUMMYFUNCTION("IMPORTRANGE(""https://docs.google.com/spreadsheets/d/1Yj_ptqi66GCucihVvJfMjLAmec39IyEx_6qawtMGysU/edit?usp=sharing"",""สบก!DM84"")"),745068.71)</f>
        <v>745068.71</v>
      </c>
      <c r="O333" s="175">
        <f ca="1">IF(L333&gt;0,N333*100/L333,0)</f>
        <v>98.561884541101151</v>
      </c>
      <c r="P333" s="175">
        <f ca="1">IF(M333&gt;0,N333*100/M333,0)</f>
        <v>82.117523034871937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IFERROR(__xludf.DUMMYFUNCTION("IMPORTRANGE(""https://docs.google.com/spreadsheets/d/1Yj_ptqi66GCucihVvJfMjLAmec39IyEx_6qawtMGysU/edit?usp=sharing"",""สบก!DH84"")"),194400)</f>
        <v>194400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IFERROR(__xludf.DUMMYFUNCTION("IMPORTRANGE(""https://docs.google.com/spreadsheets/d/1Yj_ptqi66GCucihVvJfMjLAmec39IyEx_6qawtMGysU/edit?usp=sharing"",""สบก!DI84"")"),561540)</f>
        <v>561540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IFERROR(__xludf.DUMMYFUNCTION("IMPORTRANGE(""https://docs.google.com/spreadsheets/d/1IYY_tgx_IHuhSq3AJ5eI5OnqOPBNLWSHKh2a30DoXe8/edit?usp=sharing"",""นครศรีธรรมราช!I234"")"),0)</f>
        <v>0</v>
      </c>
      <c r="J339" s="194">
        <f ca="1">IFERROR(__xludf.DUMMYFUNCTION("IMPORTRANGE(""https://docs.google.com/spreadsheets/d/1IYY_tgx_IHuhSq3AJ5eI5OnqOPBNLWSHKh2a30DoXe8/edit?usp=sharing"",""นครศรีธรรมราช!J234"")"),366)</f>
        <v>366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IFERROR(__xludf.DUMMYFUNCTION("IMPORTRANGE(""https://docs.google.com/spreadsheets/d/1IYY_tgx_IHuhSq3AJ5eI5OnqOPBNLWSHKh2a30DoXe8/edit?usp=sharing"",""นครศรีธรรมราช!I235"")"),3500)</f>
        <v>3500</v>
      </c>
      <c r="J340" s="194">
        <f ca="1">IFERROR(__xludf.DUMMYFUNCTION("IMPORTRANGE(""https://docs.google.com/spreadsheets/d/1IYY_tgx_IHuhSq3AJ5eI5OnqOPBNLWSHKh2a30DoXe8/edit?usp=sharing"",""นครศรีธรรมราช!J235"")"),2658.79)</f>
        <v>2658.79</v>
      </c>
      <c r="K340" s="348">
        <f t="shared" ca="1" si="103"/>
        <v>75.965428571428575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IFERROR(__xludf.DUMMYFUNCTION("IMPORTRANGE(""https://docs.google.com/spreadsheets/d/1IYY_tgx_IHuhSq3AJ5eI5OnqOPBNLWSHKh2a30DoXe8/edit?usp=sharing"",""นครศรีธรรมราช!I236"")"),650)</f>
        <v>650</v>
      </c>
      <c r="J341" s="194">
        <f ca="1">IFERROR(__xludf.DUMMYFUNCTION("IMPORTRANGE(""https://docs.google.com/spreadsheets/d/1IYY_tgx_IHuhSq3AJ5eI5OnqOPBNLWSHKh2a30DoXe8/edit?usp=sharing"",""นครศรีธรรมราช!J236"")"),570)</f>
        <v>570</v>
      </c>
      <c r="K341" s="348">
        <f t="shared" ca="1" si="103"/>
        <v>87.692307692307693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4">
        <f ca="1">IFERROR(__xludf.DUMMYFUNCTION("IMPORTRANGE(""https://docs.google.com/spreadsheets/d/1IYY_tgx_IHuhSq3AJ5eI5OnqOPBNLWSHKh2a30DoXe8/edit?usp=sharing"",""นครศรีธรรมราช!J237"")"),5020.16)</f>
        <v>5020.16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IFERROR(__xludf.DUMMYFUNCTION("IMPORTRANGE(""https://docs.google.com/spreadsheets/d/1IYY_tgx_IHuhSq3AJ5eI5OnqOPBNLWSHKh2a30DoXe8/edit?usp=sharing"",""นครศรีธรรมราช!I238"")"),650)</f>
        <v>650</v>
      </c>
      <c r="J343" s="194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4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IFERROR(__xludf.DUMMYFUNCTION("IMPORTRANGE(""https://docs.google.com/spreadsheets/d/1IYY_tgx_IHuhSq3AJ5eI5OnqOPBNLWSHKh2a30DoXe8/edit?usp=sharing"",""นครศรีธรรมราช!I240"")"),650)</f>
        <v>650</v>
      </c>
      <c r="J345" s="194">
        <f ca="1">IFERROR(__xludf.DUMMYFUNCTION("IMPORTRANGE(""https://docs.google.com/spreadsheets/d/1IYY_tgx_IHuhSq3AJ5eI5OnqOPBNLWSHKh2a30DoXe8/edit?usp=sharing"",""นครศรีธรรมราช!J240"")"),336)</f>
        <v>336</v>
      </c>
      <c r="K345" s="348">
        <f t="shared" ca="1" si="103"/>
        <v>51.692307692307693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4">
        <f ca="1">IFERROR(__xludf.DUMMYFUNCTION("IMPORTRANGE(""https://docs.google.com/spreadsheets/d/1IYY_tgx_IHuhSq3AJ5eI5OnqOPBNLWSHKh2a30DoXe8/edit?usp=sharing"",""นครศรีธรรมราช!J241"")"),3294.55)</f>
        <v>3294.55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IFERROR(__xludf.DUMMYFUNCTION("IMPORTRANGE(""https://docs.google.com/spreadsheets/d/1IYY_tgx_IHuhSq3AJ5eI5OnqOPBNLWSHKh2a30DoXe8/edit?usp=sharing"",""นครศรีธรรมราช!L242"")"),1211431)</f>
        <v>1211431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IFERROR(__xludf.DUMMYFUNCTION("IMPORTRANGE(""https://docs.google.com/spreadsheets/d/1IYY_tgx_IHuhSq3AJ5eI5OnqOPBNLWSHKh2a30DoXe8/edit?usp=sharing"",""นครศรีธรรมราช!M242"")"),595603.53)</f>
        <v>595603.53</v>
      </c>
      <c r="O347" s="364">
        <f ca="1">+IF(L347&gt;0,N347*100/L347,0)</f>
        <v>49.165287168646003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IFERROR(__xludf.DUMMYFUNCTION("IMPORTRANGE(""https://docs.google.com/spreadsheets/d/1IYY_tgx_IHuhSq3AJ5eI5OnqOPBNLWSHKh2a30DoXe8/edit?usp=sharing"",""นครศรีธรรมราช!L246"")"),0)</f>
        <v>0</v>
      </c>
      <c r="M351" s="168"/>
      <c r="N351" s="168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8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IFERROR(__xludf.DUMMYFUNCTION("IMPORTRANGE(""https://docs.google.com/spreadsheets/d/1IYY_tgx_IHuhSq3AJ5eI5OnqOPBNLWSHKh2a30DoXe8/edit?usp=sharing"",""นครศรีธรรมราช!L248"")"),0)</f>
        <v>0</v>
      </c>
      <c r="M353" s="175"/>
      <c r="N353" s="175">
        <f ca="1">IFERROR(__xludf.DUMMYFUNCTION("IMPORTRANGE(""https://docs.google.com/spreadsheets/d/1IYY_tgx_IHuhSq3AJ5eI5OnqOPBNLWSHKh2a30DoXe8/edit?usp=sharing"",""นครศรีธรรมราช!M248"")"),0)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IFERROR(__xludf.DUMMYFUNCTION("IMPORTRANGE(""https://docs.google.com/spreadsheets/d/1IYY_tgx_IHuhSq3AJ5eI5OnqOPBNLWSHKh2a30DoXe8/edit?usp=sharing"",""นครศรีธรรมราช!L249"")"),0)</f>
        <v>0</v>
      </c>
      <c r="M354" s="175"/>
      <c r="N354" s="172">
        <f ca="1">IFERROR(__xludf.DUMMYFUNCTION("IMPORTRANGE(""https://docs.google.com/spreadsheets/d/1IYY_tgx_IHuhSq3AJ5eI5OnqOPBNLWSHKh2a30DoXe8/edit?usp=sharing"",""นครศรีธรรมราช!M249"")"),0)</f>
        <v>0</v>
      </c>
      <c r="O354" s="175">
        <f t="shared" ca="1" si="105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IFERROR(__xludf.DUMMYFUNCTION("IMPORTRANGE(""https://docs.google.com/spreadsheets/d/1IYY_tgx_IHuhSq3AJ5eI5OnqOPBNLWSHKh2a30DoXe8/edit?usp=sharing"",""นครศรีธรรมราช!J255"")"),0)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IFERROR(__xludf.DUMMYFUNCTION("IMPORTRANGE(""https://docs.google.com/spreadsheets/d/1IYY_tgx_IHuhSq3AJ5eI5OnqOPBNLWSHKh2a30DoXe8/edit?usp=sharing"",""นครศรีธรรมราช!J256"")"),0)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IFERROR(__xludf.DUMMYFUNCTION("IMPORTRANGE(""https://docs.google.com/spreadsheets/d/1IYY_tgx_IHuhSq3AJ5eI5OnqOPBNLWSHKh2a30DoXe8/edit?usp=sharing"",""นครศรีธรรมราช!J257"")"),0)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IFERROR(__xludf.DUMMYFUNCTION("IMPORTRANGE(""https://docs.google.com/spreadsheets/d/1IYY_tgx_IHuhSq3AJ5eI5OnqOPBNLWSHKh2a30DoXe8/edit?usp=sharing"",""นครศรีธรรมราช!J258"")"),0)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IFERROR(__xludf.DUMMYFUNCTION("IMPORTRANGE(""https://docs.google.com/spreadsheets/d/1IYY_tgx_IHuhSq3AJ5eI5OnqOPBNLWSHKh2a30DoXe8/edit?usp=sharing"",""นครศรีธรรมราช!J166"")"),0)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IFERROR(__xludf.DUMMYFUNCTION("IMPORTRANGE(""https://docs.google.com/spreadsheets/d/1IYY_tgx_IHuhSq3AJ5eI5OnqOPBNLWSHKh2a30DoXe8/edit?usp=sharing"",""นครศรีธรรมราช!J166"")"),0)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IFERROR(__xludf.DUMMYFUNCTION("IMPORTRANGE(""https://docs.google.com/spreadsheets/d/1IYY_tgx_IHuhSq3AJ5eI5OnqOPBNLWSHKh2a30DoXe8/edit?usp=sharing"",""นครศรีธรรมราช!J166"")"),0)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IFERROR(__xludf.DUMMYFUNCTION("IMPORTRANGE(""https://docs.google.com/spreadsheets/d/1IYY_tgx_IHuhSq3AJ5eI5OnqOPBNLWSHKh2a30DoXe8/edit?usp=sharing"",""นครศรีธรรมราช!J166"")"),0)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IFERROR(__xludf.DUMMYFUNCTION("IMPORTRANGE(""https://docs.google.com/spreadsheets/d/1IYY_tgx_IHuhSq3AJ5eI5OnqOPBNLWSHKh2a30DoXe8/edit?usp=sharing"",""นครศรีธรรมราช!I263"")"),0)</f>
        <v>0</v>
      </c>
      <c r="J368" s="194">
        <f ca="1">IFERROR(__xludf.DUMMYFUNCTION("IMPORTRANGE(""https://docs.google.com/spreadsheets/d/1IYY_tgx_IHuhSq3AJ5eI5OnqOPBNLWSHKh2a30DoXe8/edit?usp=sharing"",""นครศรีธรรมราช!J263"")"),0)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IFERROR(__xludf.DUMMYFUNCTION("IMPORTRANGE(""https://docs.google.com/spreadsheets/d/1IYY_tgx_IHuhSq3AJ5eI5OnqOPBNLWSHKh2a30DoXe8/edit?usp=sharing"",""นครศรีธรรมราช!I164"")"),0)</f>
        <v>0</v>
      </c>
      <c r="J369" s="210">
        <f ca="1">IFERROR(__xludf.DUMMYFUNCTION("IMPORTRANGE(""https://docs.google.com/spreadsheets/d/1IYY_tgx_IHuhSq3AJ5eI5OnqOPBNLWSHKh2a30DoXe8/edit?usp=sharing"",""นครศรีธรรมราช!J164"")"),0)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IFERROR(__xludf.DUMMYFUNCTION("IMPORTRANGE(""https://docs.google.com/spreadsheets/d/1IYY_tgx_IHuhSq3AJ5eI5OnqOPBNLWSHKh2a30DoXe8/edit?usp=sharing"",""นครศรีธรรมราช!I265"")"),0)</f>
        <v>0</v>
      </c>
      <c r="J370" s="210">
        <f ca="1">IFERROR(__xludf.DUMMYFUNCTION("IMPORTRANGE(""https://docs.google.com/spreadsheets/d/1IYY_tgx_IHuhSq3AJ5eI5OnqOPBNLWSHKh2a30DoXe8/edit?usp=sharing"",""นครศรีธรรมราช!J265"")"),0)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IFERROR(__xludf.DUMMYFUNCTION("IMPORTRANGE(""https://docs.google.com/spreadsheets/d/1IYY_tgx_IHuhSq3AJ5eI5OnqOPBNLWSHKh2a30DoXe8/edit?usp=sharing"",""นครศรีธรรมราช!I164"")"),0)</f>
        <v>0</v>
      </c>
      <c r="J371" s="195">
        <f ca="1">IFERROR(__xludf.DUMMYFUNCTION("IMPORTRANGE(""https://docs.google.com/spreadsheets/d/1IYY_tgx_IHuhSq3AJ5eI5OnqOPBNLWSHKh2a30DoXe8/edit?usp=sharing"",""นครศรีธรรมราช!J164"")"),0)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IFERROR(__xludf.DUMMYFUNCTION("IMPORTRANGE(""https://docs.google.com/spreadsheets/d/1IYY_tgx_IHuhSq3AJ5eI5OnqOPBNLWSHKh2a30DoXe8/edit?usp=sharing"",""นครศรีธรรมราช!I267"")"),0)</f>
        <v>0</v>
      </c>
      <c r="J372" s="195">
        <f ca="1">IFERROR(__xludf.DUMMYFUNCTION("IMPORTRANGE(""https://docs.google.com/spreadsheets/d/1IYY_tgx_IHuhSq3AJ5eI5OnqOPBNLWSHKh2a30DoXe8/edit?usp=sharing"",""นครศรีธรรมราช!J267"")"),0)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IFERROR(__xludf.DUMMYFUNCTION("IMPORTRANGE(""https://docs.google.com/spreadsheets/d/1IYY_tgx_IHuhSq3AJ5eI5OnqOPBNLWSHKh2a30DoXe8/edit?usp=sharing"",""นครศรีธรรมราช!I164"")"),0)</f>
        <v>0</v>
      </c>
      <c r="J373" s="210">
        <f ca="1">IFERROR(__xludf.DUMMYFUNCTION("IMPORTRANGE(""https://docs.google.com/spreadsheets/d/1IYY_tgx_IHuhSq3AJ5eI5OnqOPBNLWSHKh2a30DoXe8/edit?usp=sharing"",""นครศรีธรรมราช!J164"")"),0)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IFERROR(__xludf.DUMMYFUNCTION("IMPORTRANGE(""https://docs.google.com/spreadsheets/d/1IYY_tgx_IHuhSq3AJ5eI5OnqOPBNLWSHKh2a30DoXe8/edit?usp=sharing"",""นครศรีธรรมราช!I164"")"),0)</f>
        <v>0</v>
      </c>
      <c r="J374" s="194">
        <f ca="1">IFERROR(__xludf.DUMMYFUNCTION("IMPORTRANGE(""https://docs.google.com/spreadsheets/d/1IYY_tgx_IHuhSq3AJ5eI5OnqOPBNLWSHKh2a30DoXe8/edit?usp=sharing"",""นครศรีธรรมราช!J164"")"),0)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IFERROR(__xludf.DUMMYFUNCTION("IMPORTRANGE(""https://docs.google.com/spreadsheets/d/1IYY_tgx_IHuhSq3AJ5eI5OnqOPBNLWSHKh2a30DoXe8/edit?usp=sharing"",""นครศรีธรรมราช!I270"")"),0)</f>
        <v>0</v>
      </c>
      <c r="J375" s="194">
        <f ca="1">IFERROR(__xludf.DUMMYFUNCTION("IMPORTRANGE(""https://docs.google.com/spreadsheets/d/1IYY_tgx_IHuhSq3AJ5eI5OnqOPBNLWSHKh2a30DoXe8/edit?usp=sharing"",""นครศรีธรรมราช!J270"")"),0)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IFERROR(__xludf.DUMMYFUNCTION("IMPORTRANGE(""https://docs.google.com/spreadsheets/d/1IYY_tgx_IHuhSq3AJ5eI5OnqOPBNLWSHKh2a30DoXe8/edit?usp=sharing"",""นครศรีธรรมราช!I271"")"),0)</f>
        <v>0</v>
      </c>
      <c r="J376" s="195">
        <f ca="1">IFERROR(__xludf.DUMMYFUNCTION("IMPORTRANGE(""https://docs.google.com/spreadsheets/d/1IYY_tgx_IHuhSq3AJ5eI5OnqOPBNLWSHKh2a30DoXe8/edit?usp=sharing"",""นครศรีธรรมราช!J271"")"),0)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IFERROR(__xludf.DUMMYFUNCTION("IMPORTRANGE(""https://docs.google.com/spreadsheets/d/1IYY_tgx_IHuhSq3AJ5eI5OnqOPBNLWSHKh2a30DoXe8/edit?usp=sharing"",""นครศรีธรรมราช!I272"")"),0)</f>
        <v>0</v>
      </c>
      <c r="J377" s="210">
        <f ca="1">IFERROR(__xludf.DUMMYFUNCTION("IMPORTRANGE(""https://docs.google.com/spreadsheets/d/1IYY_tgx_IHuhSq3AJ5eI5OnqOPBNLWSHKh2a30DoXe8/edit?usp=sharing"",""นครศรีธรรมราช!J272"")"),0)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IFERROR(__xludf.DUMMYFUNCTION("IMPORTRANGE(""https://docs.google.com/spreadsheets/d/1IYY_tgx_IHuhSq3AJ5eI5OnqOPBNLWSHKh2a30DoXe8/edit?usp=sharing"",""นครศรีธรรมราช!J273"")"),0)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IFERROR(__xludf.DUMMYFUNCTION("IMPORTRANGE(""https://docs.google.com/spreadsheets/d/1IYY_tgx_IHuhSq3AJ5eI5OnqOPBNLWSHKh2a30DoXe8/edit?usp=sharing"",""นครศรีธรรมราช!J274"")"),0)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IFERROR(__xludf.DUMMYFUNCTION("IMPORTRANGE(""https://docs.google.com/spreadsheets/d/1IYY_tgx_IHuhSq3AJ5eI5OnqOPBNLWSHKh2a30DoXe8/edit?usp=sharing"",""นครศรีธรรมราช!M275"")"),35313.2)</f>
        <v>35313.199999999997</v>
      </c>
      <c r="O380" s="379">
        <f ca="1">+IF(L380&gt;0,N380*100/L380,0)</f>
        <v>17.013490075158987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IFERROR(__xludf.DUMMYFUNCTION("IMPORTRANGE(""https://docs.google.com/spreadsheets/d/1IYY_tgx_IHuhSq3AJ5eI5OnqOPBNLWSHKh2a30DoXe8/edit?usp=sharing"",""นครศรีธรรมราช!L277"")"),0)</f>
        <v>0</v>
      </c>
      <c r="M382" s="168"/>
      <c r="N382" s="168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IFERROR(__xludf.DUMMYFUNCTION("IMPORTRANGE(""https://docs.google.com/spreadsheets/d/1IYY_tgx_IHuhSq3AJ5eI5OnqOPBNLWSHKh2a30DoXe8/edit?usp=sharing"",""นครศรีธรรมราช!M278"")"),35313.2)</f>
        <v>35313.199999999997</v>
      </c>
      <c r="O383" s="169">
        <f t="shared" ca="1" si="109"/>
        <v>17.013490075158987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IFERROR(__xludf.DUMMYFUNCTION("IMPORTRANGE(""https://docs.google.com/spreadsheets/d/1IYY_tgx_IHuhSq3AJ5eI5OnqOPBNLWSHKh2a30DoXe8/edit?usp=sharing"",""นครศรีธรรมราช!L279"")"),0)</f>
        <v>0</v>
      </c>
      <c r="M384" s="175"/>
      <c r="N384" s="175">
        <f ca="1">IFERROR(__xludf.DUMMYFUNCTION("IMPORTRANGE(""https://docs.google.com/spreadsheets/d/1IYY_tgx_IHuhSq3AJ5eI5OnqOPBNLWSHKh2a30DoXe8/edit?usp=sharing"",""นครศรีธรรมราช!M279"")"),0)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IFERROR(__xludf.DUMMYFUNCTION("IMPORTRANGE(""https://docs.google.com/spreadsheets/d/1IYY_tgx_IHuhSq3AJ5eI5OnqOPBNLWSHKh2a30DoXe8/edit?usp=sharing"",""นครศรีธรรมราช!M280"")"),35313.2)</f>
        <v>35313.199999999997</v>
      </c>
      <c r="O385" s="175">
        <f t="shared" ca="1" si="109"/>
        <v>17.013490075158987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IFERROR(__xludf.DUMMYFUNCTION("IMPORTRANGE(""https://docs.google.com/spreadsheets/d/1IYY_tgx_IHuhSq3AJ5eI5OnqOPBNLWSHKh2a30DoXe8/edit?usp=sharing"",""นครศรีธรรมราช!M282"")"),0)</f>
        <v>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IFERROR(__xludf.DUMMYFUNCTION("IMPORTRANGE(""https://docs.google.com/spreadsheets/d/1IYY_tgx_IHuhSq3AJ5eI5OnqOPBNLWSHKh2a30DoXe8/edit?usp=sharing"",""นครศรีธรรมราช!M284"")"),12277.2)</f>
        <v>12277.2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IFERROR(__xludf.DUMMYFUNCTION("IMPORTRANGE(""https://docs.google.com/spreadsheets/d/1IYY_tgx_IHuhSq3AJ5eI5OnqOPBNLWSHKh2a30DoXe8/edit?usp=sharing"",""นครศรีธรรมราช!J286"")"),0)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IFERROR(__xludf.DUMMYFUNCTION("IMPORTRANGE(""https://docs.google.com/spreadsheets/d/1IYY_tgx_IHuhSq3AJ5eI5OnqOPBNLWSHKh2a30DoXe8/edit?usp=sharing"",""นครศรีธรรมราช!J287"")"),1)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IFERROR(__xludf.DUMMYFUNCTION("IMPORTRANGE(""https://docs.google.com/spreadsheets/d/1IYY_tgx_IHuhSq3AJ5eI5OnqOPBNLWSHKh2a30DoXe8/edit?usp=sharing"",""นครศรีธรรมราช!J288"")"),1)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IFERROR(__xludf.DUMMYFUNCTION("IMPORTRANGE(""https://docs.google.com/spreadsheets/d/1IYY_tgx_IHuhSq3AJ5eI5OnqOPBNLWSHKh2a30DoXe8/edit?usp=sharing"",""นครศรีธรรมราช!J289"")"),1)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4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4">
        <f ca="1">IFERROR(__xludf.DUMMYFUNCTION("IMPORTRANGE(""https://docs.google.com/spreadsheets/d/1IYY_tgx_IHuhSq3AJ5eI5OnqOPBNLWSHKh2a30DoXe8/edit?usp=sharing"",""นครศรีธรรมราช!J292"")"),0)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4">
        <f ca="1">IFERROR(__xludf.DUMMYFUNCTION("IMPORTRANGE(""https://docs.google.com/spreadsheets/d/1IYY_tgx_IHuhSq3AJ5eI5OnqOPBNLWSHKh2a30DoXe8/edit?usp=sharing"",""นครศรีธรรมราช!J293"")"),0)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IFERROR(__xludf.DUMMYFUNCTION("IMPORTRANGE(""https://docs.google.com/spreadsheets/d/1IYY_tgx_IHuhSq3AJ5eI5OnqOPBNLWSHKh2a30DoXe8/edit?usp=sharing"",""นครศรีธรรมราช!J294"")"),0)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IFERROR(__xludf.DUMMYFUNCTION("IMPORTRANGE(""https://docs.google.com/spreadsheets/d/1IYY_tgx_IHuhSq3AJ5eI5OnqOPBNLWSHKh2a30DoXe8/edit?usp=sharing"",""นครศรีธรรมราช!J295"")"),0)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IFERROR(__xludf.DUMMYFUNCTION("IMPORTRANGE(""https://docs.google.com/spreadsheets/d/1IYY_tgx_IHuhSq3AJ5eI5OnqOPBNLWSHKh2a30DoXe8/edit?usp=sharing"",""นครศรีธรรมราช!J296"")"),120)</f>
        <v>120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IFERROR(__xludf.DUMMYFUNCTION("IMPORTRANGE(""https://docs.google.com/spreadsheets/d/1IYY_tgx_IHuhSq3AJ5eI5OnqOPBNLWSHKh2a30DoXe8/edit?usp=sharing"",""นครศรีธรรมราช!M296"")"),95392)</f>
        <v>95392</v>
      </c>
      <c r="O401" s="379">
        <f ca="1">+IF(L401&gt;0,N401*100/L401,0)</f>
        <v>83.123039386545841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IFERROR(__xludf.DUMMYFUNCTION("IMPORTRANGE(""https://docs.google.com/spreadsheets/d/1IYY_tgx_IHuhSq3AJ5eI5OnqOPBNLWSHKh2a30DoXe8/edit?usp=sharing"",""นครศรีธรรมราช!J297"")"),40)</f>
        <v>40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IFERROR(__xludf.DUMMYFUNCTION("IMPORTRANGE(""https://docs.google.com/spreadsheets/d/1IYY_tgx_IHuhSq3AJ5eI5OnqOPBNLWSHKh2a30DoXe8/edit?usp=sharing"",""นครศรีธรรมราช!L298"")"),0)</f>
        <v>0</v>
      </c>
      <c r="M403" s="168"/>
      <c r="N403" s="175">
        <f ca="1">IFERROR(__xludf.DUMMYFUNCTION("IMPORTRANGE(""https://docs.google.com/spreadsheets/d/1IYY_tgx_IHuhSq3AJ5eI5OnqOPBNLWSHKh2a30DoXe8/edit?usp=sharing"",""นครศรีธรรมราช!M298"")"),0)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5">
        <f ca="1">IFERROR(__xludf.DUMMYFUNCTION("IMPORTRANGE(""https://docs.google.com/spreadsheets/d/1IYY_tgx_IHuhSq3AJ5eI5OnqOPBNLWSHKh2a30DoXe8/edit?usp=sharing"",""นครศรีธรรมราช!M299"")"),95392)</f>
        <v>95392</v>
      </c>
      <c r="O404" s="175">
        <f t="shared" ca="1" si="112"/>
        <v>83.123039386545841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IFERROR(__xludf.DUMMYFUNCTION("IMPORTRANGE(""https://docs.google.com/spreadsheets/d/1IYY_tgx_IHuhSq3AJ5eI5OnqOPBNLWSHKh2a30DoXe8/edit?usp=sharing"",""นครศรีธรรมราช!L300"")"),0)</f>
        <v>0</v>
      </c>
      <c r="M405" s="175"/>
      <c r="N405" s="175">
        <f ca="1">IFERROR(__xludf.DUMMYFUNCTION("IMPORTRANGE(""https://docs.google.com/spreadsheets/d/1IYY_tgx_IHuhSq3AJ5eI5OnqOPBNLWSHKh2a30DoXe8/edit?usp=sharing"",""นครศรีธรรมราช!M300"")"),0)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5"/>
      <c r="N406" s="175">
        <f ca="1">IFERROR(__xludf.DUMMYFUNCTION("IMPORTRANGE(""https://docs.google.com/spreadsheets/d/1IYY_tgx_IHuhSq3AJ5eI5OnqOPBNLWSHKh2a30DoXe8/edit?usp=sharing"",""นครศรีธรรมราช!M301"")"),95392)</f>
        <v>95392</v>
      </c>
      <c r="O406" s="175">
        <f t="shared" ca="1" si="112"/>
        <v>83.123039386545841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IFERROR(__xludf.DUMMYFUNCTION("IMPORTRANGE(""https://docs.google.com/spreadsheets/d/1IYY_tgx_IHuhSq3AJ5eI5OnqOPBNLWSHKh2a30DoXe8/edit?usp=sharing"",""นครศรีธรรมราช!M302"")"),75000)</f>
        <v>75000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IFERROR(__xludf.DUMMYFUNCTION("IMPORTRANGE(""https://docs.google.com/spreadsheets/d/1IYY_tgx_IHuhSq3AJ5eI5OnqOPBNLWSHKh2a30DoXe8/edit?usp=sharing"",""นครศรีธรรมราช!M303"")"),0)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IFERROR(__xludf.DUMMYFUNCTION("IMPORTRANGE(""https://docs.google.com/spreadsheets/d/1IYY_tgx_IHuhSq3AJ5eI5OnqOPBNLWSHKh2a30DoXe8/edit?usp=sharing"",""นครศรีธรรมราช!M305"")"),20392)</f>
        <v>20392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IFERROR(__xludf.DUMMYFUNCTION("IMPORTRANGE(""https://docs.google.com/spreadsheets/d/1IYY_tgx_IHuhSq3AJ5eI5OnqOPBNLWSHKh2a30DoXe8/edit?usp=sharing"",""นครศรีธรรมราช!J307"")"),0)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IFERROR(__xludf.DUMMYFUNCTION("IMPORTRANGE(""https://docs.google.com/spreadsheets/d/1IYY_tgx_IHuhSq3AJ5eI5OnqOPBNLWSHKh2a30DoXe8/edit?usp=sharing"",""นครศรีธรรมราช!J308"")"),1)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IFERROR(__xludf.DUMMYFUNCTION("IMPORTRANGE(""https://docs.google.com/spreadsheets/d/1IYY_tgx_IHuhSq3AJ5eI5OnqOPBNLWSHKh2a30DoXe8/edit?usp=sharing"",""นครศรีธรรมราช!J309"")"),1)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IFERROR(__xludf.DUMMYFUNCTION("IMPORTRANGE(""https://docs.google.com/spreadsheets/d/1IYY_tgx_IHuhSq3AJ5eI5OnqOPBNLWSHKh2a30DoXe8/edit?usp=sharing"",""นครศรีธรรมราช!J310"")"),1)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7">
        <f ca="1">IFERROR(__xludf.DUMMYFUNCTION("IMPORTRANGE(""https://docs.google.com/spreadsheets/d/1IYY_tgx_IHuhSq3AJ5eI5OnqOPBNLWSHKh2a30DoXe8/edit?usp=sharing"",""นครศรีธรรมราช!J311"")"),40)</f>
        <v>40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IFERROR(__xludf.DUMMYFUNCTION("IMPORTRANGE(""https://docs.google.com/spreadsheets/d/1IYY_tgx_IHuhSq3AJ5eI5OnqOPBNLWSHKh2a30DoXe8/edit?usp=sharing"",""นครศรีธรรมราช!J328"")"),0)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IFERROR(__xludf.DUMMYFUNCTION("IMPORTRANGE(""https://docs.google.com/spreadsheets/d/1IYY_tgx_IHuhSq3AJ5eI5OnqOPBNLWSHKh2a30DoXe8/edit?usp=sharing"",""นครศรีธรรมราช!J329"")"),0)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IFERROR(__xludf.DUMMYFUNCTION("IMPORTRANGE(""https://docs.google.com/spreadsheets/d/1IYY_tgx_IHuhSq3AJ5eI5OnqOPBNLWSHKh2a30DoXe8/edit?usp=sharing"",""นครศรีธรรมราช!M330"")"),72233)</f>
        <v>72233</v>
      </c>
      <c r="O435" s="418">
        <f t="shared" ref="O435:O439" ca="1" si="114">+IF(L435&gt;0,N435*100/L435,0)</f>
        <v>82.082954545454541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IFERROR(__xludf.DUMMYFUNCTION("IMPORTRANGE(""https://docs.google.com/spreadsheets/d/1IYY_tgx_IHuhSq3AJ5eI5OnqOPBNLWSHKh2a30DoXe8/edit?usp=sharing"",""นครศรีธรรมราช!L331"")"),0)</f>
        <v>0</v>
      </c>
      <c r="M436" s="168"/>
      <c r="N436" s="175">
        <f ca="1">IFERROR(__xludf.DUMMYFUNCTION("IMPORTRANGE(""https://docs.google.com/spreadsheets/d/1IYY_tgx_IHuhSq3AJ5eI5OnqOPBNLWSHKh2a30DoXe8/edit?usp=sharing"",""นครศรีธรรมราช!M331"")"),0)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69"/>
      <c r="N437" s="175">
        <f ca="1">IFERROR(__xludf.DUMMYFUNCTION("IMPORTRANGE(""https://docs.google.com/spreadsheets/d/1IYY_tgx_IHuhSq3AJ5eI5OnqOPBNLWSHKh2a30DoXe8/edit?usp=sharing"",""นครศรีธรรมราช!M332"")"),72233)</f>
        <v>72233</v>
      </c>
      <c r="O437" s="175">
        <f t="shared" ca="1" si="114"/>
        <v>82.082954545454541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IFERROR(__xludf.DUMMYFUNCTION("IMPORTRANGE(""https://docs.google.com/spreadsheets/d/1IYY_tgx_IHuhSq3AJ5eI5OnqOPBNLWSHKh2a30DoXe8/edit?usp=sharing"",""นครศรีธรรมราช!L333"")"),0)</f>
        <v>0</v>
      </c>
      <c r="M438" s="175"/>
      <c r="N438" s="175">
        <f ca="1">IFERROR(__xludf.DUMMYFUNCTION("IMPORTRANGE(""https://docs.google.com/spreadsheets/d/1IYY_tgx_IHuhSq3AJ5eI5OnqOPBNLWSHKh2a30DoXe8/edit?usp=sharing"",""นครศรีธรรมราช!M333"")"),0)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5"/>
      <c r="N439" s="175">
        <f ca="1">IFERROR(__xludf.DUMMYFUNCTION("IMPORTRANGE(""https://docs.google.com/spreadsheets/d/1IYY_tgx_IHuhSq3AJ5eI5OnqOPBNLWSHKh2a30DoXe8/edit?usp=sharing"",""นครศรีธรรมราช!M334"")"),72233)</f>
        <v>72233</v>
      </c>
      <c r="O439" s="175">
        <f t="shared" ca="1" si="114"/>
        <v>82.082954545454541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IFERROR(__xludf.DUMMYFUNCTION("IMPORTRANGE(""https://docs.google.com/spreadsheets/d/1IYY_tgx_IHuhSq3AJ5eI5OnqOPBNLWSHKh2a30DoXe8/edit?usp=sharing"",""นครศรีธรรมราช!M335"")"),52303)</f>
        <v>52303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IFERROR(__xludf.DUMMYFUNCTION("IMPORTRANGE(""https://docs.google.com/spreadsheets/d/1IYY_tgx_IHuhSq3AJ5eI5OnqOPBNLWSHKh2a30DoXe8/edit?usp=sharing"",""นครศรีธรรมราช!M338"")"),19930)</f>
        <v>19930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IFERROR(__xludf.DUMMYFUNCTION("IMPORTRANGE(""https://docs.google.com/spreadsheets/d/1IYY_tgx_IHuhSq3AJ5eI5OnqOPBNLWSHKh2a30DoXe8/edit?usp=sharing"",""นครศรีธรรมราช!J340"")"),0)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IFERROR(__xludf.DUMMYFUNCTION("IMPORTRANGE(""https://docs.google.com/spreadsheets/d/1IYY_tgx_IHuhSq3AJ5eI5OnqOPBNLWSHKh2a30DoXe8/edit?usp=sharing"",""นครศรีธรรมราช!J342"")"),1)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IFERROR(__xludf.DUMMYFUNCTION("IMPORTRANGE(""https://docs.google.com/spreadsheets/d/1IYY_tgx_IHuhSq3AJ5eI5OnqOPBNLWSHKh2a30DoXe8/edit?usp=sharing"",""นครศรีธรรมราช!J343"")"),1)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7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5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4">
        <f ca="1">IFERROR(__xludf.DUMMYFUNCTION("IMPORTRANGE(""https://docs.google.com/spreadsheets/d/1IYY_tgx_IHuhSq3AJ5eI5OnqOPBNLWSHKh2a30DoXe8/edit?usp=sharing"",""นครศรีธรรมราช!J346"")"),0)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IFERROR(__xludf.DUMMYFUNCTION("IMPORTRANGE(""https://docs.google.com/spreadsheets/d/1IYY_tgx_IHuhSq3AJ5eI5OnqOPBNLWSHKh2a30DoXe8/edit?usp=sharing"",""นครศรีธรรมราช!I347"")"),0)</f>
        <v>0</v>
      </c>
      <c r="J452" s="194">
        <f ca="1">IFERROR(__xludf.DUMMYFUNCTION("IMPORTRANGE(""https://docs.google.com/spreadsheets/d/1IYY_tgx_IHuhSq3AJ5eI5OnqOPBNLWSHKh2a30DoXe8/edit?usp=sharing"",""นครศรีธรรมราช!J347"")"),0)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IFERROR(__xludf.DUMMYFUNCTION("IMPORTRANGE(""https://docs.google.com/spreadsheets/d/1IYY_tgx_IHuhSq3AJ5eI5OnqOPBNLWSHKh2a30DoXe8/edit?usp=sharing"",""นครศรีธรรมราช!J348"")"),0)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IFERROR(__xludf.DUMMYFUNCTION("IMPORTRANGE(""https://docs.google.com/spreadsheets/d/1IYY_tgx_IHuhSq3AJ5eI5OnqOPBNLWSHKh2a30DoXe8/edit?usp=sharing"",""นครศรีธรรมราช!J349"")"),0)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IFERROR(__xludf.DUMMYFUNCTION("IMPORTRANGE(""https://docs.google.com/spreadsheets/d/1IYY_tgx_IHuhSq3AJ5eI5OnqOPBNLWSHKh2a30DoXe8/edit?usp=sharing"",""นครศรีธรรมราช!J350"")"),49838)</f>
        <v>49838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IFERROR(__xludf.DUMMYFUNCTION("IMPORTRANGE(""https://docs.google.com/spreadsheets/d/1IYY_tgx_IHuhSq3AJ5eI5OnqOPBNLWSHKh2a30DoXe8/edit?usp=sharing"",""นครศรีธรรมราช!L350"")"),452204)</f>
        <v>452204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IFERROR(__xludf.DUMMYFUNCTION("IMPORTRANGE(""https://docs.google.com/spreadsheets/d/1IYY_tgx_IHuhSq3AJ5eI5OnqOPBNLWSHKh2a30DoXe8/edit?usp=sharing"",""นครศรีธรรมราช!M350"")"),219279)</f>
        <v>219279</v>
      </c>
      <c r="O455" s="379">
        <f t="shared" ref="O455:O459" ca="1" si="116">+IF(L455&gt;0,N455*100/L455,0)</f>
        <v>48.491167703072065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IFERROR(__xludf.DUMMYFUNCTION("IMPORTRANGE(""https://docs.google.com/spreadsheets/d/1IYY_tgx_IHuhSq3AJ5eI5OnqOPBNLWSHKh2a30DoXe8/edit?usp=sharing"",""นครศรีธรรมราช!L351"")"),0)</f>
        <v>0</v>
      </c>
      <c r="M456" s="168"/>
      <c r="N456" s="175">
        <f ca="1">IFERROR(__xludf.DUMMYFUNCTION("IMPORTRANGE(""https://docs.google.com/spreadsheets/d/1IYY_tgx_IHuhSq3AJ5eI5OnqOPBNLWSHKh2a30DoXe8/edit?usp=sharing"",""นครศรีธรรมราช!M351"")"),0)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IFERROR(__xludf.DUMMYFUNCTION("IMPORTRANGE(""https://docs.google.com/spreadsheets/d/1IYY_tgx_IHuhSq3AJ5eI5OnqOPBNLWSHKh2a30DoXe8/edit?usp=sharing"",""นครศรีธรรมราช!L352"")"),452204)</f>
        <v>452204</v>
      </c>
      <c r="M457" s="169"/>
      <c r="N457" s="175">
        <f ca="1">IFERROR(__xludf.DUMMYFUNCTION("IMPORTRANGE(""https://docs.google.com/spreadsheets/d/1IYY_tgx_IHuhSq3AJ5eI5OnqOPBNLWSHKh2a30DoXe8/edit?usp=sharing"",""นครศรีธรรมราช!M352"")"),219279)</f>
        <v>219279</v>
      </c>
      <c r="O457" s="175">
        <f t="shared" ca="1" si="116"/>
        <v>48.491167703072065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IFERROR(__xludf.DUMMYFUNCTION("IMPORTRANGE(""https://docs.google.com/spreadsheets/d/1IYY_tgx_IHuhSq3AJ5eI5OnqOPBNLWSHKh2a30DoXe8/edit?usp=sharing"",""นครศรีธรรมราช!L353"")"),0)</f>
        <v>0</v>
      </c>
      <c r="M458" s="175"/>
      <c r="N458" s="175">
        <f ca="1">IFERROR(__xludf.DUMMYFUNCTION("IMPORTRANGE(""https://docs.google.com/spreadsheets/d/1IYY_tgx_IHuhSq3AJ5eI5OnqOPBNLWSHKh2a30DoXe8/edit?usp=sharing"",""นครศรีธรรมราช!M353"")"),0)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IFERROR(__xludf.DUMMYFUNCTION("IMPORTRANGE(""https://docs.google.com/spreadsheets/d/1IYY_tgx_IHuhSq3AJ5eI5OnqOPBNLWSHKh2a30DoXe8/edit?usp=sharing"",""นครศรีธรรมราช!L354"")"),452204)</f>
        <v>452204</v>
      </c>
      <c r="M459" s="175"/>
      <c r="N459" s="175">
        <f ca="1">IFERROR(__xludf.DUMMYFUNCTION("IMPORTRANGE(""https://docs.google.com/spreadsheets/d/1IYY_tgx_IHuhSq3AJ5eI5OnqOPBNLWSHKh2a30DoXe8/edit?usp=sharing"",""นครศรีธรรมราช!M354"")"),219279)</f>
        <v>219279</v>
      </c>
      <c r="O459" s="175">
        <f t="shared" ca="1" si="116"/>
        <v>48.491167703072065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IFERROR(__xludf.DUMMYFUNCTION("IMPORTRANGE(""https://docs.google.com/spreadsheets/d/1IYY_tgx_IHuhSq3AJ5eI5OnqOPBNLWSHKh2a30DoXe8/edit?usp=sharing"",""นครศรีธรรมราช!M355"")"),0)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IFERROR(__xludf.DUMMYFUNCTION("IMPORTRANGE(""https://docs.google.com/spreadsheets/d/1IYY_tgx_IHuhSq3AJ5eI5OnqOPBNLWSHKh2a30DoXe8/edit?usp=sharing"",""นครศรีธรรมราช!M356"")"),0)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IFERROR(__xludf.DUMMYFUNCTION("IMPORTRANGE(""https://docs.google.com/spreadsheets/d/1IYY_tgx_IHuhSq3AJ5eI5OnqOPBNLWSHKh2a30DoXe8/edit?usp=sharing"",""นครศรีธรรมราช!M357"")"),69217.2)</f>
        <v>69217.2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IFERROR(__xludf.DUMMYFUNCTION("IMPORTRANGE(""https://docs.google.com/spreadsheets/d/1IYY_tgx_IHuhSq3AJ5eI5OnqOPBNLWSHKh2a30DoXe8/edit?usp=sharing"",""นครศรีธรรมราช!M358"")"),150061.8)</f>
        <v>150061.79999999999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3">
        <f ca="1">IFERROR(__xludf.DUMMYFUNCTION("IMPORTRANGE(""https://docs.google.com/spreadsheets/d/1IYY_tgx_IHuhSq3AJ5eI5OnqOPBNLWSHKh2a30DoXe8/edit?usp=sharing"",""นครศรีธรรมราช!J359"")"),49838)</f>
        <v>49838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IFERROR(__xludf.DUMMYFUNCTION("IMPORTRANGE(""https://docs.google.com/spreadsheets/d/1IYY_tgx_IHuhSq3AJ5eI5OnqOPBNLWSHKh2a30DoXe8/edit?usp=sharing"",""นครศรีธรรมราช!I362"")"),0)</f>
        <v>0</v>
      </c>
      <c r="J467" s="195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IFERROR(__xludf.DUMMYFUNCTION("IMPORTRANGE(""https://docs.google.com/spreadsheets/d/1IYY_tgx_IHuhSq3AJ5eI5OnqOPBNLWSHKh2a30DoXe8/edit?usp=sharing"",""นครศรีธรรมราช!I363"")"),0)</f>
        <v>0</v>
      </c>
      <c r="J468" s="195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IFERROR(__xludf.DUMMYFUNCTION("IMPORTRANGE(""https://docs.google.com/spreadsheets/d/1IYY_tgx_IHuhSq3AJ5eI5OnqOPBNLWSHKh2a30DoXe8/edit?usp=sharing"",""นครศรีธรรมราช!I364"")"),0)</f>
        <v>0</v>
      </c>
      <c r="J469" s="195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IFERROR(__xludf.DUMMYFUNCTION("IMPORTRANGE(""https://docs.google.com/spreadsheets/d/1IYY_tgx_IHuhSq3AJ5eI5OnqOPBNLWSHKh2a30DoXe8/edit?usp=sharing"",""นครศรีธรรมราช!I365"")"),0)</f>
        <v>0</v>
      </c>
      <c r="J470" s="195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IFERROR(__xludf.DUMMYFUNCTION("IMPORTRANGE(""https://docs.google.com/spreadsheets/d/1IYY_tgx_IHuhSq3AJ5eI5OnqOPBNLWSHKh2a30DoXe8/edit?usp=sharing"",""นครศรีธรรมราช!I366"")"),0)</f>
        <v>0</v>
      </c>
      <c r="J471" s="195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IFERROR(__xludf.DUMMYFUNCTION("IMPORTRANGE(""https://docs.google.com/spreadsheets/d/1IYY_tgx_IHuhSq3AJ5eI5OnqOPBNLWSHKh2a30DoXe8/edit?usp=sharing"",""นครศรีธรรมราช!I367"")"),0)</f>
        <v>0</v>
      </c>
      <c r="J472" s="195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IFERROR(__xludf.DUMMYFUNCTION("IMPORTRANGE(""https://docs.google.com/spreadsheets/d/1IYY_tgx_IHuhSq3AJ5eI5OnqOPBNLWSHKh2a30DoXe8/edit?usp=sharing"",""นครศรีธรรมราช!I370"")"),0)</f>
        <v>0</v>
      </c>
      <c r="J475" s="195">
        <f ca="1">IFERROR(__xludf.DUMMYFUNCTION("IMPORTRANGE(""https://docs.google.com/spreadsheets/d/1IYY_tgx_IHuhSq3AJ5eI5OnqOPBNLWSHKh2a30DoXe8/edit?usp=sharing"",""นครศรีธรรมราช!J370"")"),48245)</f>
        <v>48245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IFERROR(__xludf.DUMMYFUNCTION("IMPORTRANGE(""https://docs.google.com/spreadsheets/d/1IYY_tgx_IHuhSq3AJ5eI5OnqOPBNLWSHKh2a30DoXe8/edit?usp=sharing"",""นครศรีธรรมราช!I371"")"),0)</f>
        <v>0</v>
      </c>
      <c r="J476" s="195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IFERROR(__xludf.DUMMYFUNCTION("IMPORTRANGE(""https://docs.google.com/spreadsheets/d/1IYY_tgx_IHuhSq3AJ5eI5OnqOPBNLWSHKh2a30DoXe8/edit?usp=sharing"",""นครศรีธรรมราช!I372"")"),0)</f>
        <v>0</v>
      </c>
      <c r="J477" s="195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IFERROR(__xludf.DUMMYFUNCTION("IMPORTRANGE(""https://docs.google.com/spreadsheets/d/1IYY_tgx_IHuhSq3AJ5eI5OnqOPBNLWSHKh2a30DoXe8/edit?usp=sharing"",""นครศรีธรรมราช!I373"")"),0)</f>
        <v>0</v>
      </c>
      <c r="J478" s="195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IFERROR(__xludf.DUMMYFUNCTION("IMPORTRANGE(""https://docs.google.com/spreadsheets/d/1IYY_tgx_IHuhSq3AJ5eI5OnqOPBNLWSHKh2a30DoXe8/edit?usp=sharing"",""นครศรีธรรมราช!I374"")"),0)</f>
        <v>0</v>
      </c>
      <c r="J479" s="195">
        <f ca="1">IFERROR(__xludf.DUMMYFUNCTION("IMPORTRANGE(""https://docs.google.com/spreadsheets/d/1IYY_tgx_IHuhSq3AJ5eI5OnqOPBNLWSHKh2a30DoXe8/edit?usp=sharing"",""นครศรีธรรมราช!J374"")"),641)</f>
        <v>641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IFERROR(__xludf.DUMMYFUNCTION("IMPORTRANGE(""https://docs.google.com/spreadsheets/d/1IYY_tgx_IHuhSq3AJ5eI5OnqOPBNLWSHKh2a30DoXe8/edit?usp=sharing"",""นครศรีธรรมราช!I375"")"),0)</f>
        <v>0</v>
      </c>
      <c r="J480" s="195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IFERROR(__xludf.DUMMYFUNCTION("IMPORTRANGE(""https://docs.google.com/spreadsheets/d/1IYY_tgx_IHuhSq3AJ5eI5OnqOPBNLWSHKh2a30DoXe8/edit?usp=sharing"",""นครศรีธรรมราช!J376"")"),49838)</f>
        <v>49838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IFERROR(__xludf.DUMMYFUNCTION("IMPORTRANGE(""https://docs.google.com/spreadsheets/d/1IYY_tgx_IHuhSq3AJ5eI5OnqOPBNLWSHKh2a30DoXe8/edit?usp=sharing"",""นครศรีธรรมราช!J377"")"),6576)</f>
        <v>6576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IFERROR(__xludf.DUMMYFUNCTION("IMPORTRANGE(""https://docs.google.com/spreadsheets/d/1IYY_tgx_IHuhSq3AJ5eI5OnqOPBNLWSHKh2a30DoXe8/edit?usp=sharing"",""นครศรีธรรมราช!I378"")"),0)</f>
        <v>0</v>
      </c>
      <c r="J483" s="195">
        <f ca="1">IFERROR(__xludf.DUMMYFUNCTION("IMPORTRANGE(""https://docs.google.com/spreadsheets/d/1IYY_tgx_IHuhSq3AJ5eI5OnqOPBNLWSHKh2a30DoXe8/edit?usp=sharing"",""นครศรีธรรมราช!J378"")"),48918)</f>
        <v>48918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IFERROR(__xludf.DUMMYFUNCTION("IMPORTRANGE(""https://docs.google.com/spreadsheets/d/1IYY_tgx_IHuhSq3AJ5eI5OnqOPBNLWSHKh2a30DoXe8/edit?usp=sharing"",""นครศรีธรรมราช!I379"")"),0)</f>
        <v>0</v>
      </c>
      <c r="J484" s="195">
        <f ca="1">IFERROR(__xludf.DUMMYFUNCTION("IMPORTRANGE(""https://docs.google.com/spreadsheets/d/1IYY_tgx_IHuhSq3AJ5eI5OnqOPBNLWSHKh2a30DoXe8/edit?usp=sharing"",""นครศรีธรรมราช!J379"")"),6461)</f>
        <v>6461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IFERROR(__xludf.DUMMYFUNCTION("IMPORTRANGE(""https://docs.google.com/spreadsheets/d/1IYY_tgx_IHuhSq3AJ5eI5OnqOPBNLWSHKh2a30DoXe8/edit?usp=sharing"",""นครศรีธรรมราช!I380"")"),0)</f>
        <v>0</v>
      </c>
      <c r="J485" s="195">
        <f ca="1">IFERROR(__xludf.DUMMYFUNCTION("IMPORTRANGE(""https://docs.google.com/spreadsheets/d/1IYY_tgx_IHuhSq3AJ5eI5OnqOPBNLWSHKh2a30DoXe8/edit?usp=sharing"",""นครศรีธรรมราช!J380"")"),7)</f>
        <v>7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IFERROR(__xludf.DUMMYFUNCTION("IMPORTRANGE(""https://docs.google.com/spreadsheets/d/1IYY_tgx_IHuhSq3AJ5eI5OnqOPBNLWSHKh2a30DoXe8/edit?usp=sharing"",""นครศรีธรรมราช!I381"")"),0)</f>
        <v>0</v>
      </c>
      <c r="J486" s="195">
        <f ca="1">IFERROR(__xludf.DUMMYFUNCTION("IMPORTRANGE(""https://docs.google.com/spreadsheets/d/1IYY_tgx_IHuhSq3AJ5eI5OnqOPBNLWSHKh2a30DoXe8/edit?usp=sharing"",""นครศรีธรรมราช!J381"")"),1)</f>
        <v>1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IFERROR(__xludf.DUMMYFUNCTION("IMPORTRANGE(""https://docs.google.com/spreadsheets/d/1IYY_tgx_IHuhSq3AJ5eI5OnqOPBNLWSHKh2a30DoXe8/edit?usp=sharing"",""นครศรีธรรมราช!J382"")"),577)</f>
        <v>577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IFERROR(__xludf.DUMMYFUNCTION("IMPORTRANGE(""https://docs.google.com/spreadsheets/d/1IYY_tgx_IHuhSq3AJ5eI5OnqOPBNLWSHKh2a30DoXe8/edit?usp=sharing"",""นครศรีธรรมราช!J383"")"),61)</f>
        <v>61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IFERROR(__xludf.DUMMYFUNCTION("IMPORTRANGE(""https://docs.google.com/spreadsheets/d/1IYY_tgx_IHuhSq3AJ5eI5OnqOPBNLWSHKh2a30DoXe8/edit?usp=sharing"",""นครศรีธรรมราช!I384"")"),0)</f>
        <v>0</v>
      </c>
      <c r="J489" s="195">
        <f ca="1">IFERROR(__xludf.DUMMYFUNCTION("IMPORTRANGE(""https://docs.google.com/spreadsheets/d/1IYY_tgx_IHuhSq3AJ5eI5OnqOPBNLWSHKh2a30DoXe8/edit?usp=sharing"",""นครศรีธรรมราช!J384"")"),577)</f>
        <v>577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IFERROR(__xludf.DUMMYFUNCTION("IMPORTRANGE(""https://docs.google.com/spreadsheets/d/1IYY_tgx_IHuhSq3AJ5eI5OnqOPBNLWSHKh2a30DoXe8/edit?usp=sharing"",""นครศรีธรรมราช!I385"")"),0)</f>
        <v>0</v>
      </c>
      <c r="J490" s="195">
        <f ca="1">IFERROR(__xludf.DUMMYFUNCTION("IMPORTRANGE(""https://docs.google.com/spreadsheets/d/1IYY_tgx_IHuhSq3AJ5eI5OnqOPBNLWSHKh2a30DoXe8/edit?usp=sharing"",""นครศรีธรรมราช!J385"")"),61)</f>
        <v>61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IFERROR(__xludf.DUMMYFUNCTION("IMPORTRANGE(""https://docs.google.com/spreadsheets/d/1IYY_tgx_IHuhSq3AJ5eI5OnqOPBNLWSHKh2a30DoXe8/edit?usp=sharing"",""นครศรีธรรมราช!I386"")"),0)</f>
        <v>0</v>
      </c>
      <c r="J491" s="195">
        <f ca="1">IFERROR(__xludf.DUMMYFUNCTION("IMPORTRANGE(""https://docs.google.com/spreadsheets/d/1IYY_tgx_IHuhSq3AJ5eI5OnqOPBNLWSHKh2a30DoXe8/edit?usp=sharing"",""นครศรีธรรมราช!J386"")"),0)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IFERROR(__xludf.DUMMYFUNCTION("IMPORTRANGE(""https://docs.google.com/spreadsheets/d/1IYY_tgx_IHuhSq3AJ5eI5OnqOPBNLWSHKh2a30DoXe8/edit?usp=sharing"",""นครศรีธรรมราช!I387"")"),0)</f>
        <v>0</v>
      </c>
      <c r="J492" s="195">
        <f ca="1">IFERROR(__xludf.DUMMYFUNCTION("IMPORTRANGE(""https://docs.google.com/spreadsheets/d/1IYY_tgx_IHuhSq3AJ5eI5OnqOPBNLWSHKh2a30DoXe8/edit?usp=sharing"",""นครศรีธรรมราช!J387"")"),0)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IFERROR(__xludf.DUMMYFUNCTION("IMPORTRANGE(""https://docs.google.com/spreadsheets/d/1IYY_tgx_IHuhSq3AJ5eI5OnqOPBNLWSHKh2a30DoXe8/edit?usp=sharing"",""นครศรีธรรมราช!I388"")"),0)</f>
        <v>0</v>
      </c>
      <c r="J493" s="195">
        <f ca="1">IFERROR(__xludf.DUMMYFUNCTION("IMPORTRANGE(""https://docs.google.com/spreadsheets/d/1IYY_tgx_IHuhSq3AJ5eI5OnqOPBNLWSHKh2a30DoXe8/edit?usp=sharing"",""นครศรีธรรมราช!J388"")"),336)</f>
        <v>336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IFERROR(__xludf.DUMMYFUNCTION("IMPORTRANGE(""https://docs.google.com/spreadsheets/d/1IYY_tgx_IHuhSq3AJ5eI5OnqOPBNLWSHKh2a30DoXe8/edit?usp=sharing"",""นครศรีธรรมราช!J389"")"),53)</f>
        <v>53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IFERROR(__xludf.DUMMYFUNCTION("IMPORTRANGE(""https://docs.google.com/spreadsheets/d/1IYY_tgx_IHuhSq3AJ5eI5OnqOPBNLWSHKh2a30DoXe8/edit?usp=sharing"",""นครศรีธรรมราช!I395"")"),0)</f>
        <v>0</v>
      </c>
      <c r="J500" s="166">
        <f ca="1">IFERROR(__xludf.DUMMYFUNCTION("IMPORTRANGE(""https://docs.google.com/spreadsheets/d/1IYY_tgx_IHuhSq3AJ5eI5OnqOPBNLWSHKh2a30DoXe8/edit?usp=sharing"",""นครศรีธรรมราช!J395"")"),0)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IFERROR(__xludf.DUMMYFUNCTION("IMPORTRANGE(""https://docs.google.com/spreadsheets/d/1IYY_tgx_IHuhSq3AJ5eI5OnqOPBNLWSHKh2a30DoXe8/edit?usp=sharing"",""นครศรีธรรมราช!I396"")"),0)</f>
        <v>0</v>
      </c>
      <c r="J501" s="166">
        <f ca="1">IFERROR(__xludf.DUMMYFUNCTION("IMPORTRANGE(""https://docs.google.com/spreadsheets/d/1IYY_tgx_IHuhSq3AJ5eI5OnqOPBNLWSHKh2a30DoXe8/edit?usp=sharing"",""นครศรีธรรมราช!J396"")"),0)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IFERROR(__xludf.DUMMYFUNCTION("IMPORTRANGE(""https://docs.google.com/spreadsheets/d/1IYY_tgx_IHuhSq3AJ5eI5OnqOPBNLWSHKh2a30DoXe8/edit?usp=sharing"",""นครศรีธรรมราช!I397"")"),0)</f>
        <v>0</v>
      </c>
      <c r="J502" s="195">
        <f ca="1">IFERROR(__xludf.DUMMYFUNCTION("IMPORTRANGE(""https://docs.google.com/spreadsheets/d/1IYY_tgx_IHuhSq3AJ5eI5OnqOPBNLWSHKh2a30DoXe8/edit?usp=sharing"",""นครศรีธรรมราช!J397"")"),0)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IFERROR(__xludf.DUMMYFUNCTION("IMPORTRANGE(""https://docs.google.com/spreadsheets/d/1IYY_tgx_IHuhSq3AJ5eI5OnqOPBNLWSHKh2a30DoXe8/edit?usp=sharing"",""นครศรีธรรมราช!I398"")"),0)</f>
        <v>0</v>
      </c>
      <c r="J503" s="204">
        <f ca="1">IFERROR(__xludf.DUMMYFUNCTION("IMPORTRANGE(""https://docs.google.com/spreadsheets/d/1IYY_tgx_IHuhSq3AJ5eI5OnqOPBNLWSHKh2a30DoXe8/edit?usp=sharing"",""นครศรีธรรมราช!J398"")"),0)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IFERROR(__xludf.DUMMYFUNCTION("IMPORTRANGE(""https://docs.google.com/spreadsheets/d/1IYY_tgx_IHuhSq3AJ5eI5OnqOPBNLWSHKh2a30DoXe8/edit?usp=sharing"",""นครศรีธรรมราช!I399"")"),0)</f>
        <v>0</v>
      </c>
      <c r="J504" s="195">
        <f ca="1">IFERROR(__xludf.DUMMYFUNCTION("IMPORTRANGE(""https://docs.google.com/spreadsheets/d/1IYY_tgx_IHuhSq3AJ5eI5OnqOPBNLWSHKh2a30DoXe8/edit?usp=sharing"",""นครศรีธรรมราช!J399"")"),0)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IFERROR(__xludf.DUMMYFUNCTION("IMPORTRANGE(""https://docs.google.com/spreadsheets/d/1IYY_tgx_IHuhSq3AJ5eI5OnqOPBNLWSHKh2a30DoXe8/edit?usp=sharing"",""นครศรีธรรมราช!I400"")"),0)</f>
        <v>0</v>
      </c>
      <c r="J505" s="204">
        <f ca="1">IFERROR(__xludf.DUMMYFUNCTION("IMPORTRANGE(""https://docs.google.com/spreadsheets/d/1IYY_tgx_IHuhSq3AJ5eI5OnqOPBNLWSHKh2a30DoXe8/edit?usp=sharing"",""นครศรีธรรมราช!J400"")"),0)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IFERROR(__xludf.DUMMYFUNCTION("IMPORTRANGE(""https://docs.google.com/spreadsheets/d/1IYY_tgx_IHuhSq3AJ5eI5OnqOPBNLWSHKh2a30DoXe8/edit?usp=sharing"",""นครศรีธรรมราช!I401"")"),0)</f>
        <v>0</v>
      </c>
      <c r="J506" s="195">
        <f ca="1">IFERROR(__xludf.DUMMYFUNCTION("IMPORTRANGE(""https://docs.google.com/spreadsheets/d/1IYY_tgx_IHuhSq3AJ5eI5OnqOPBNLWSHKh2a30DoXe8/edit?usp=sharing"",""นครศรีธรรมราช!J401"")"),0)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IFERROR(__xludf.DUMMYFUNCTION("IMPORTRANGE(""https://docs.google.com/spreadsheets/d/1IYY_tgx_IHuhSq3AJ5eI5OnqOPBNLWSHKh2a30DoXe8/edit?usp=sharing"",""นครศรีธรรมราช!I402"")"),0)</f>
        <v>0</v>
      </c>
      <c r="J507" s="204">
        <f ca="1">IFERROR(__xludf.DUMMYFUNCTION("IMPORTRANGE(""https://docs.google.com/spreadsheets/d/1IYY_tgx_IHuhSq3AJ5eI5OnqOPBNLWSHKh2a30DoXe8/edit?usp=sharing"",""นครศรีธรรมราช!J402"")"),0)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IFERROR(__xludf.DUMMYFUNCTION("IMPORTRANGE(""https://docs.google.com/spreadsheets/d/1IYY_tgx_IHuhSq3AJ5eI5OnqOPBNLWSHKh2a30DoXe8/edit?usp=sharing"",""นครศรีธรรมราช!I403"")"),0)</f>
        <v>0</v>
      </c>
      <c r="J508" s="166">
        <f ca="1">IFERROR(__xludf.DUMMYFUNCTION("IMPORTRANGE(""https://docs.google.com/spreadsheets/d/1IYY_tgx_IHuhSq3AJ5eI5OnqOPBNLWSHKh2a30DoXe8/edit?usp=sharing"",""นครศรีธรรมราช!J403"")"),0)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IFERROR(__xludf.DUMMYFUNCTION("IMPORTRANGE(""https://docs.google.com/spreadsheets/d/1IYY_tgx_IHuhSq3AJ5eI5OnqOPBNLWSHKh2a30DoXe8/edit?usp=sharing"",""นครศรีธรรมราช!I404"")"),0)</f>
        <v>0</v>
      </c>
      <c r="J509" s="166">
        <f ca="1">IFERROR(__xludf.DUMMYFUNCTION("IMPORTRANGE(""https://docs.google.com/spreadsheets/d/1IYY_tgx_IHuhSq3AJ5eI5OnqOPBNLWSHKh2a30DoXe8/edit?usp=sharing"",""นครศรีธรรมราช!J404"")"),0)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IFERROR(__xludf.DUMMYFUNCTION("IMPORTRANGE(""https://docs.google.com/spreadsheets/d/1IYY_tgx_IHuhSq3AJ5eI5OnqOPBNLWSHKh2a30DoXe8/edit?usp=sharing"",""นครศรีธรรมราช!I405"")"),0)</f>
        <v>0</v>
      </c>
      <c r="J510" s="204">
        <f ca="1">IFERROR(__xludf.DUMMYFUNCTION("IMPORTRANGE(""https://docs.google.com/spreadsheets/d/1IYY_tgx_IHuhSq3AJ5eI5OnqOPBNLWSHKh2a30DoXe8/edit?usp=sharing"",""นครศรีธรรมราช!J405"")"),0)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IFERROR(__xludf.DUMMYFUNCTION("IMPORTRANGE(""https://docs.google.com/spreadsheets/d/1IYY_tgx_IHuhSq3AJ5eI5OnqOPBNLWSHKh2a30DoXe8/edit?usp=sharing"",""นครศรีธรรมราช!I406"")"),0)</f>
        <v>0</v>
      </c>
      <c r="J511" s="204">
        <f ca="1">IFERROR(__xludf.DUMMYFUNCTION("IMPORTRANGE(""https://docs.google.com/spreadsheets/d/1IYY_tgx_IHuhSq3AJ5eI5OnqOPBNLWSHKh2a30DoXe8/edit?usp=sharing"",""นครศรีธรรมราช!J406"")"),0)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IFERROR(__xludf.DUMMYFUNCTION("IMPORTRANGE(""https://docs.google.com/spreadsheets/d/1IYY_tgx_IHuhSq3AJ5eI5OnqOPBNLWSHKh2a30DoXe8/edit?usp=sharing"",""นครศรีธรรมราช!I407"")"),0)</f>
        <v>0</v>
      </c>
      <c r="J512" s="204">
        <f ca="1">IFERROR(__xludf.DUMMYFUNCTION("IMPORTRANGE(""https://docs.google.com/spreadsheets/d/1IYY_tgx_IHuhSq3AJ5eI5OnqOPBNLWSHKh2a30DoXe8/edit?usp=sharing"",""นครศรีธรรมราช!J407"")"),0)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IFERROR(__xludf.DUMMYFUNCTION("IMPORTRANGE(""https://docs.google.com/spreadsheets/d/1IYY_tgx_IHuhSq3AJ5eI5OnqOPBNLWSHKh2a30DoXe8/edit?usp=sharing"",""นครศรีธรรมราช!I408"")"),0)</f>
        <v>0</v>
      </c>
      <c r="J513" s="204">
        <f ca="1">IFERROR(__xludf.DUMMYFUNCTION("IMPORTRANGE(""https://docs.google.com/spreadsheets/d/1IYY_tgx_IHuhSq3AJ5eI5OnqOPBNLWSHKh2a30DoXe8/edit?usp=sharing"",""นครศรีธรรมราช!J408"")"),0)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IFERROR(__xludf.DUMMYFUNCTION("IMPORTRANGE(""https://docs.google.com/spreadsheets/d/1IYY_tgx_IHuhSq3AJ5eI5OnqOPBNLWSHKh2a30DoXe8/edit?usp=sharing"",""นครศรีธรรมราช!I409"")"),0)</f>
        <v>0</v>
      </c>
      <c r="J514" s="204">
        <f ca="1">IFERROR(__xludf.DUMMYFUNCTION("IMPORTRANGE(""https://docs.google.com/spreadsheets/d/1IYY_tgx_IHuhSq3AJ5eI5OnqOPBNLWSHKh2a30DoXe8/edit?usp=sharing"",""นครศรีธรรมราช!J409"")"),0)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IFERROR(__xludf.DUMMYFUNCTION("IMPORTRANGE(""https://docs.google.com/spreadsheets/d/1IYY_tgx_IHuhSq3AJ5eI5OnqOPBNLWSHKh2a30DoXe8/edit?usp=sharing"",""นครศรีธรรมราช!I410"")"),0)</f>
        <v>0</v>
      </c>
      <c r="J515" s="204">
        <f ca="1">IFERROR(__xludf.DUMMYFUNCTION("IMPORTRANGE(""https://docs.google.com/spreadsheets/d/1IYY_tgx_IHuhSq3AJ5eI5OnqOPBNLWSHKh2a30DoXe8/edit?usp=sharing"",""นครศรีธรรมราช!J410"")"),0)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IFERROR(__xludf.DUMMYFUNCTION("IMPORTRANGE(""https://docs.google.com/spreadsheets/d/1IYY_tgx_IHuhSq3AJ5eI5OnqOPBNLWSHKh2a30DoXe8/edit?usp=sharing"",""นครศรีธรรมราช!I411"")"),0)</f>
        <v>0</v>
      </c>
      <c r="J516" s="273">
        <f ca="1">IFERROR(__xludf.DUMMYFUNCTION("IMPORTRANGE(""https://docs.google.com/spreadsheets/d/1IYY_tgx_IHuhSq3AJ5eI5OnqOPBNLWSHKh2a30DoXe8/edit?usp=sharing"",""นครศรีธรรมราช!J411"")"),0)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IFERROR(__xludf.DUMMYFUNCTION("IMPORTRANGE(""https://docs.google.com/spreadsheets/d/1IYY_tgx_IHuhSq3AJ5eI5OnqOPBNLWSHKh2a30DoXe8/edit?usp=sharing"",""นครศรีธรรมราช!I414"")"),0)</f>
        <v>0</v>
      </c>
      <c r="J519" s="194">
        <f ca="1">IFERROR(__xludf.DUMMYFUNCTION("IMPORTRANGE(""https://docs.google.com/spreadsheets/d/1IYY_tgx_IHuhSq3AJ5eI5OnqOPBNLWSHKh2a30DoXe8/edit?usp=sharing"",""นครศรีธรรมราช!J414"")"),0)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IFERROR(__xludf.DUMMYFUNCTION("IMPORTRANGE(""https://docs.google.com/spreadsheets/d/1IYY_tgx_IHuhSq3AJ5eI5OnqOPBNLWSHKh2a30DoXe8/edit?usp=sharing"",""นครศรีธรรมราช!I415"")"),0)</f>
        <v>0</v>
      </c>
      <c r="J520" s="194">
        <f ca="1">IFERROR(__xludf.DUMMYFUNCTION("IMPORTRANGE(""https://docs.google.com/spreadsheets/d/1IYY_tgx_IHuhSq3AJ5eI5OnqOPBNLWSHKh2a30DoXe8/edit?usp=sharing"",""นครศรีธรรมราช!J415"")"),0)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IFERROR(__xludf.DUMMYFUNCTION("IMPORTRANGE(""https://docs.google.com/spreadsheets/d/1IYY_tgx_IHuhSq3AJ5eI5OnqOPBNLWSHKh2a30DoXe8/edit?usp=sharing"",""นครศรีธรรมราช!I416"")"),0)</f>
        <v>0</v>
      </c>
      <c r="J521" s="194">
        <f ca="1">IFERROR(__xludf.DUMMYFUNCTION("IMPORTRANGE(""https://docs.google.com/spreadsheets/d/1IYY_tgx_IHuhSq3AJ5eI5OnqOPBNLWSHKh2a30DoXe8/edit?usp=sharing"",""นครศรีธรรมราช!J416"")"),0)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IFERROR(__xludf.DUMMYFUNCTION("IMPORTRANGE(""https://docs.google.com/spreadsheets/d/1IYY_tgx_IHuhSq3AJ5eI5OnqOPBNLWSHKh2a30DoXe8/edit?usp=sharing"",""นครศรีธรรมราช!I417"")"),0)</f>
        <v>0</v>
      </c>
      <c r="J522" s="194">
        <f ca="1">IFERROR(__xludf.DUMMYFUNCTION("IMPORTRANGE(""https://docs.google.com/spreadsheets/d/1IYY_tgx_IHuhSq3AJ5eI5OnqOPBNLWSHKh2a30DoXe8/edit?usp=sharing"",""นครศรีธรรมราช!J417"")"),0)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IFERROR(__xludf.DUMMYFUNCTION("IMPORTRANGE(""https://docs.google.com/spreadsheets/d/1IYY_tgx_IHuhSq3AJ5eI5OnqOPBNLWSHKh2a30DoXe8/edit?usp=sharing"",""นครศรีธรรมราช!I418"")"),0)</f>
        <v>0</v>
      </c>
      <c r="J523" s="194">
        <f ca="1">IFERROR(__xludf.DUMMYFUNCTION("IMPORTRANGE(""https://docs.google.com/spreadsheets/d/1IYY_tgx_IHuhSq3AJ5eI5OnqOPBNLWSHKh2a30DoXe8/edit?usp=sharing"",""นครศรีธรรมราช!J418"")"),0)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IFERROR(__xludf.DUMMYFUNCTION("IMPORTRANGE(""https://docs.google.com/spreadsheets/d/1IYY_tgx_IHuhSq3AJ5eI5OnqOPBNLWSHKh2a30DoXe8/edit?usp=sharing"",""นครศรีธรรมราช!I419"")"),0)</f>
        <v>0</v>
      </c>
      <c r="J524" s="194">
        <f ca="1">IFERROR(__xludf.DUMMYFUNCTION("IMPORTRANGE(""https://docs.google.com/spreadsheets/d/1IYY_tgx_IHuhSq3AJ5eI5OnqOPBNLWSHKh2a30DoXe8/edit?usp=sharing"",""นครศรีธรรมราช!J419"")"),0)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IFERROR(__xludf.DUMMYFUNCTION("IMPORTRANGE(""https://docs.google.com/spreadsheets/d/1IYY_tgx_IHuhSq3AJ5eI5OnqOPBNLWSHKh2a30DoXe8/edit?usp=sharing"",""นครศรีธรรมราช!I422"")"),0)</f>
        <v>0</v>
      </c>
      <c r="J527" s="204">
        <f ca="1">IFERROR(__xludf.DUMMYFUNCTION("IMPORTRANGE(""https://docs.google.com/spreadsheets/d/1IYY_tgx_IHuhSq3AJ5eI5OnqOPBNLWSHKh2a30DoXe8/edit?usp=sharing"",""นครศรีธรรมราช!J422"")"),0)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IFERROR(__xludf.DUMMYFUNCTION("IMPORTRANGE(""https://docs.google.com/spreadsheets/d/1IYY_tgx_IHuhSq3AJ5eI5OnqOPBNLWSHKh2a30DoXe8/edit?usp=sharing"",""นครศรีธรรมราช!I423"")"),0)</f>
        <v>0</v>
      </c>
      <c r="J528" s="204">
        <f ca="1">IFERROR(__xludf.DUMMYFUNCTION("IMPORTRANGE(""https://docs.google.com/spreadsheets/d/1IYY_tgx_IHuhSq3AJ5eI5OnqOPBNLWSHKh2a30DoXe8/edit?usp=sharing"",""นครศรีธรรมราช!J423"")"),0)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IFERROR(__xludf.DUMMYFUNCTION("IMPORTRANGE(""https://docs.google.com/spreadsheets/d/1IYY_tgx_IHuhSq3AJ5eI5OnqOPBNLWSHKh2a30DoXe8/edit?usp=sharing"",""นครศรีธรรมราช!I424"")"),0)</f>
        <v>0</v>
      </c>
      <c r="J529" s="204">
        <f ca="1">IFERROR(__xludf.DUMMYFUNCTION("IMPORTRANGE(""https://docs.google.com/spreadsheets/d/1IYY_tgx_IHuhSq3AJ5eI5OnqOPBNLWSHKh2a30DoXe8/edit?usp=sharing"",""นครศรีธรรมราช!J424"")"),0)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IFERROR(__xludf.DUMMYFUNCTION("IMPORTRANGE(""https://docs.google.com/spreadsheets/d/1IYY_tgx_IHuhSq3AJ5eI5OnqOPBNLWSHKh2a30DoXe8/edit?usp=sharing"",""นครศรีธรรมราช!I425"")"),0)</f>
        <v>0</v>
      </c>
      <c r="J530" s="204">
        <f ca="1">IFERROR(__xludf.DUMMYFUNCTION("IMPORTRANGE(""https://docs.google.com/spreadsheets/d/1IYY_tgx_IHuhSq3AJ5eI5OnqOPBNLWSHKh2a30DoXe8/edit?usp=sharing"",""นครศรีธรรมราช!J425"")"),0)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IFERROR(__xludf.DUMMYFUNCTION("IMPORTRANGE(""https://docs.google.com/spreadsheets/d/1IYY_tgx_IHuhSq3AJ5eI5OnqOPBNLWSHKh2a30DoXe8/edit?usp=sharing"",""นครศรีธรรมราช!I426"")"),0)</f>
        <v>0</v>
      </c>
      <c r="J531" s="204">
        <f ca="1">IFERROR(__xludf.DUMMYFUNCTION("IMPORTRANGE(""https://docs.google.com/spreadsheets/d/1IYY_tgx_IHuhSq3AJ5eI5OnqOPBNLWSHKh2a30DoXe8/edit?usp=sharing"",""นครศรีธรรมราช!J426"")"),0)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IFERROR(__xludf.DUMMYFUNCTION("IMPORTRANGE(""https://docs.google.com/spreadsheets/d/1IYY_tgx_IHuhSq3AJ5eI5OnqOPBNLWSHKh2a30DoXe8/edit?usp=sharing"",""นครศรีธรรมราช!M428"")"),37740)</f>
        <v>37740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IFERROR(__xludf.DUMMYFUNCTION("IMPORTRANGE(""https://docs.google.com/spreadsheets/d/1IYY_tgx_IHuhSq3AJ5eI5OnqOPBNLWSHKh2a30DoXe8/edit?usp=sharing"",""นครศรีธรรมราช!L429"")"),0)</f>
        <v>0</v>
      </c>
      <c r="M534" s="168"/>
      <c r="N534" s="175">
        <f ca="1">IFERROR(__xludf.DUMMYFUNCTION("IMPORTRANGE(""https://docs.google.com/spreadsheets/d/1IYY_tgx_IHuhSq3AJ5eI5OnqOPBNLWSHKh2a30DoXe8/edit?usp=sharing"",""นครศรีธรรมราช!M429"")"),0)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5">
        <f ca="1">IFERROR(__xludf.DUMMYFUNCTION("IMPORTRANGE(""https://docs.google.com/spreadsheets/d/1IYY_tgx_IHuhSq3AJ5eI5OnqOPBNLWSHKh2a30DoXe8/edit?usp=sharing"",""นครศรีธรรมราช!M430"")"),37740)</f>
        <v>37740</v>
      </c>
      <c r="O535" s="175">
        <f t="shared" ca="1" si="118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IFERROR(__xludf.DUMMYFUNCTION("IMPORTRANGE(""https://docs.google.com/spreadsheets/d/1IYY_tgx_IHuhSq3AJ5eI5OnqOPBNLWSHKh2a30DoXe8/edit?usp=sharing"",""นครศรีธรรมราช!L431"")"),0)</f>
        <v>0</v>
      </c>
      <c r="M536" s="175"/>
      <c r="N536" s="175">
        <f ca="1">IFERROR(__xludf.DUMMYFUNCTION("IMPORTRANGE(""https://docs.google.com/spreadsheets/d/1IYY_tgx_IHuhSq3AJ5eI5OnqOPBNLWSHKh2a30DoXe8/edit?usp=sharing"",""นครศรีธรรมราช!M431"")"),0)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5"/>
      <c r="N537" s="175">
        <f ca="1">IFERROR(__xludf.DUMMYFUNCTION("IMPORTRANGE(""https://docs.google.com/spreadsheets/d/1IYY_tgx_IHuhSq3AJ5eI5OnqOPBNLWSHKh2a30DoXe8/edit?usp=sharing"",""นครศรีธรรมราช!M432"")"),37740)</f>
        <v>37740</v>
      </c>
      <c r="O537" s="175">
        <f t="shared" ca="1" si="118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IFERROR(__xludf.DUMMYFUNCTION("IMPORTRANGE(""https://docs.google.com/spreadsheets/d/1IYY_tgx_IHuhSq3AJ5eI5OnqOPBNLWSHKh2a30DoXe8/edit?usp=sharing"",""นครศรีธรรมราช!M436"")"),15840)</f>
        <v>15840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IFERROR(__xludf.DUMMYFUNCTION("IMPORTRANGE(""https://docs.google.com/spreadsheets/d/1IYY_tgx_IHuhSq3AJ5eI5OnqOPBNLWSHKh2a30DoXe8/edit?usp=sharing"",""นครศรีธรรมราช!J438"")"),0)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IFERROR(__xludf.DUMMYFUNCTION("IMPORTRANGE(""https://docs.google.com/spreadsheets/d/1IYY_tgx_IHuhSq3AJ5eI5OnqOPBNLWSHKh2a30DoXe8/edit?usp=sharing"",""นครศรีธรรมราช!J439"")"),1)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IFERROR(__xludf.DUMMYFUNCTION("IMPORTRANGE(""https://docs.google.com/spreadsheets/d/1IYY_tgx_IHuhSq3AJ5eI5OnqOPBNLWSHKh2a30DoXe8/edit?usp=sharing"",""นครศรีธรรมราช!J440"")"),1)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IFERROR(__xludf.DUMMYFUNCTION("IMPORTRANGE(""https://docs.google.com/spreadsheets/d/1IYY_tgx_IHuhSq3AJ5eI5OnqOPBNLWSHKh2a30DoXe8/edit?usp=sharing"",""นครศรีธรรมราช!J441"")"),1)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5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IFERROR(__xludf.DUMMYFUNCTION("IMPORTRANGE(""https://docs.google.com/spreadsheets/d/1IYY_tgx_IHuhSq3AJ5eI5OnqOPBNLWSHKh2a30DoXe8/edit?usp=sharing"",""นครศรีธรรมราช!J166"")"),0)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IFERROR(__xludf.DUMMYFUNCTION("IMPORTRANGE(""https://docs.google.com/spreadsheets/d/1IYY_tgx_IHuhSq3AJ5eI5OnqOPBNLWSHKh2a30DoXe8/edit?usp=sharing"",""นครศรีธรรมราช!J444"")"),0)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IFERROR(__xludf.DUMMYFUNCTION("IMPORTRANGE(""https://docs.google.com/spreadsheets/d/1IYY_tgx_IHuhSq3AJ5eI5OnqOPBNLWSHKh2a30DoXe8/edit?usp=sharing"",""นครศรีธรรมราช!L447"")"),0)</f>
        <v>0</v>
      </c>
      <c r="M552" s="168"/>
      <c r="N552" s="175">
        <f ca="1">IFERROR(__xludf.DUMMYFUNCTION("IMPORTRANGE(""https://docs.google.com/spreadsheets/d/1IYY_tgx_IHuhSq3AJ5eI5OnqOPBNLWSHKh2a30DoXe8/edit?usp=sharing"",""นครศรีธรรมราช!M447"")"),0)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5">
        <f ca="1">IFERROR(__xludf.DUMMYFUNCTION("IMPORTRANGE(""https://docs.google.com/spreadsheets/d/1IYY_tgx_IHuhSq3AJ5eI5OnqOPBNLWSHKh2a30DoXe8/edit?usp=sharing"",""นครศรีธรรมราช!M448"")"),0)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IFERROR(__xludf.DUMMYFUNCTION("IMPORTRANGE(""https://docs.google.com/spreadsheets/d/1IYY_tgx_IHuhSq3AJ5eI5OnqOPBNLWSHKh2a30DoXe8/edit?usp=sharing"",""นครศรีธรรมราช!L449"")"),0)</f>
        <v>0</v>
      </c>
      <c r="M554" s="175"/>
      <c r="N554" s="175">
        <f ca="1">IFERROR(__xludf.DUMMYFUNCTION("IMPORTRANGE(""https://docs.google.com/spreadsheets/d/1IYY_tgx_IHuhSq3AJ5eI5OnqOPBNLWSHKh2a30DoXe8/edit?usp=sharing"",""นครศรีธรรมราช!M449"")"),0)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IFERROR(__xludf.DUMMYFUNCTION("IMPORTRANGE(""https://docs.google.com/spreadsheets/d/1IYY_tgx_IHuhSq3AJ5eI5OnqOPBNLWSHKh2a30DoXe8/edit?usp=sharing"",""นครศรีธรรมราช!L450"")"),0)</f>
        <v>0</v>
      </c>
      <c r="M555" s="175"/>
      <c r="N555" s="175">
        <f ca="1">IFERROR(__xludf.DUMMYFUNCTION("IMPORTRANGE(""https://docs.google.com/spreadsheets/d/1IYY_tgx_IHuhSq3AJ5eI5OnqOPBNLWSHKh2a30DoXe8/edit?usp=sharing"",""นครศรีธรรมราช!M450"")"),0)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IFERROR(__xludf.DUMMYFUNCTION("IMPORTRANGE(""https://docs.google.com/spreadsheets/d/1IYY_tgx_IHuhSq3AJ5eI5OnqOPBNLWSHKh2a30DoXe8/edit?usp=sharing"",""นครศรีธรรมราช!M451"")"),0)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IFERROR(__xludf.DUMMYFUNCTION("IMPORTRANGE(""https://docs.google.com/spreadsheets/d/1IYY_tgx_IHuhSq3AJ5eI5OnqOPBNLWSHKh2a30DoXe8/edit?usp=sharing"",""นครศรีธรรมราช!M452"")"),0)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IFERROR(__xludf.DUMMYFUNCTION("IMPORTRANGE(""https://docs.google.com/spreadsheets/d/1IYY_tgx_IHuhSq3AJ5eI5OnqOPBNLWSHKh2a30DoXe8/edit?usp=sharing"",""นครศรีธรรมราช!M453"")"),0)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IFERROR(__xludf.DUMMYFUNCTION("IMPORTRANGE(""https://docs.google.com/spreadsheets/d/1IYY_tgx_IHuhSq3AJ5eI5OnqOPBNLWSHKh2a30DoXe8/edit?usp=sharing"",""นครศรีธรรมราช!M454"")"),0)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IFERROR(__xludf.DUMMYFUNCTION("IMPORTRANGE(""https://docs.google.com/spreadsheets/d/1IYY_tgx_IHuhSq3AJ5eI5OnqOPBNLWSHKh2a30DoXe8/edit?usp=sharing"",""นครศรีธรรมราช!I455"")"),0)</f>
        <v>0</v>
      </c>
      <c r="J560" s="166">
        <f ca="1">IFERROR(__xludf.DUMMYFUNCTION("IMPORTRANGE(""https://docs.google.com/spreadsheets/d/1IYY_tgx_IHuhSq3AJ5eI5OnqOPBNLWSHKh2a30DoXe8/edit?usp=sharing"",""นครศรีธรรมราช!J455"")"),0)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IFERROR(__xludf.DUMMYFUNCTION("IMPORTRANGE(""https://docs.google.com/spreadsheets/d/1IYY_tgx_IHuhSq3AJ5eI5OnqOPBNLWSHKh2a30DoXe8/edit?usp=sharing"",""นครศรีธรรมราช!I456"")"),0)</f>
        <v>0</v>
      </c>
      <c r="J561" s="210">
        <f ca="1">IFERROR(__xludf.DUMMYFUNCTION("IMPORTRANGE(""https://docs.google.com/spreadsheets/d/1IYY_tgx_IHuhSq3AJ5eI5OnqOPBNLWSHKh2a30DoXe8/edit?usp=sharing"",""นครศรีธรรมราช!J456"")"),0)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IFERROR(__xludf.DUMMYFUNCTION("IMPORTRANGE(""https://docs.google.com/spreadsheets/d/1IYY_tgx_IHuhSq3AJ5eI5OnqOPBNLWSHKh2a30DoXe8/edit?usp=sharing"",""นครศรีธรรมราช!J459"")"),3817)</f>
        <v>3817</v>
      </c>
      <c r="K564" s="378">
        <f ca="1">IF(I564&gt;0,J564*100/I564,0)</f>
        <v>224.52941176470588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IFERROR(__xludf.DUMMYFUNCTION("IMPORTRANGE(""https://docs.google.com/spreadsheets/d/1IYY_tgx_IHuhSq3AJ5eI5OnqOPBNLWSHKh2a30DoXe8/edit?usp=sharing"",""นครศรีธรรมราช!M459"")"),121775.33)</f>
        <v>121775.33</v>
      </c>
      <c r="O564" s="379">
        <f t="shared" ref="O564:O568" ca="1" si="122">+IF(L564&gt;0,N564*100/L564,0)</f>
        <v>83.728912266226629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IFERROR(__xludf.DUMMYFUNCTION("IMPORTRANGE(""https://docs.google.com/spreadsheets/d/1IYY_tgx_IHuhSq3AJ5eI5OnqOPBNLWSHKh2a30DoXe8/edit?usp=sharing"",""นครศรีธรรมราช!L460"")"),0)</f>
        <v>0</v>
      </c>
      <c r="M565" s="168"/>
      <c r="N565" s="175">
        <f ca="1">IFERROR(__xludf.DUMMYFUNCTION("IMPORTRANGE(""https://docs.google.com/spreadsheets/d/1IYY_tgx_IHuhSq3AJ5eI5OnqOPBNLWSHKh2a30DoXe8/edit?usp=sharing"",""นครศรีธรรมราช!M460"")"),0)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5">
        <f ca="1">IFERROR(__xludf.DUMMYFUNCTION("IMPORTRANGE(""https://docs.google.com/spreadsheets/d/1IYY_tgx_IHuhSq3AJ5eI5OnqOPBNLWSHKh2a30DoXe8/edit?usp=sharing"",""นครศรีธรรมราช!M461"")"),121775.33)</f>
        <v>121775.33</v>
      </c>
      <c r="O566" s="175">
        <f t="shared" ca="1" si="122"/>
        <v>83.728912266226629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IFERROR(__xludf.DUMMYFUNCTION("IMPORTRANGE(""https://docs.google.com/spreadsheets/d/1IYY_tgx_IHuhSq3AJ5eI5OnqOPBNLWSHKh2a30DoXe8/edit?usp=sharing"",""นครศรีธรรมราช!L462"")"),0)</f>
        <v>0</v>
      </c>
      <c r="M567" s="175"/>
      <c r="N567" s="175">
        <f ca="1">IFERROR(__xludf.DUMMYFUNCTION("IMPORTRANGE(""https://docs.google.com/spreadsheets/d/1IYY_tgx_IHuhSq3AJ5eI5OnqOPBNLWSHKh2a30DoXe8/edit?usp=sharing"",""นครศรีธรรมราช!M462"")"),0)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5"/>
      <c r="N568" s="175">
        <f ca="1">IFERROR(__xludf.DUMMYFUNCTION("IMPORTRANGE(""https://docs.google.com/spreadsheets/d/1IYY_tgx_IHuhSq3AJ5eI5OnqOPBNLWSHKh2a30DoXe8/edit?usp=sharing"",""นครศรีธรรมราช!M463"")"),121775.33)</f>
        <v>121775.33</v>
      </c>
      <c r="O568" s="175">
        <f t="shared" ca="1" si="122"/>
        <v>83.728912266226629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IFERROR(__xludf.DUMMYFUNCTION("IMPORTRANGE(""https://docs.google.com/spreadsheets/d/1IYY_tgx_IHuhSq3AJ5eI5OnqOPBNLWSHKh2a30DoXe8/edit?usp=sharing"",""นครศรีธรรมราช!M464"")"),0)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IFERROR(__xludf.DUMMYFUNCTION("IMPORTRANGE(""https://docs.google.com/spreadsheets/d/1IYY_tgx_IHuhSq3AJ5eI5OnqOPBNLWSHKh2a30DoXe8/edit?usp=sharing"",""นครศรีธรรมราช!M465"")"),0)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IFERROR(__xludf.DUMMYFUNCTION("IMPORTRANGE(""https://docs.google.com/spreadsheets/d/1IYY_tgx_IHuhSq3AJ5eI5OnqOPBNLWSHKh2a30DoXe8/edit?usp=sharing"",""นครศรีธรรมราช!M466"")"),76633.33)</f>
        <v>76633.33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IFERROR(__xludf.DUMMYFUNCTION("IMPORTRANGE(""https://docs.google.com/spreadsheets/d/1IYY_tgx_IHuhSq3AJ5eI5OnqOPBNLWSHKh2a30DoXe8/edit?usp=sharing"",""นครศรีธรรมราช!M467"")"),45142)</f>
        <v>45142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IFERROR(__xludf.DUMMYFUNCTION("IMPORTRANGE(""https://docs.google.com/spreadsheets/d/1IYY_tgx_IHuhSq3AJ5eI5OnqOPBNLWSHKh2a30DoXe8/edit?usp=sharing"",""นครศรีธรรมราช!J468"")"),3817)</f>
        <v>3817</v>
      </c>
      <c r="K573" s="208">
        <f ca="1">IF(I573&gt;0,J573*100/I573,0)</f>
        <v>224.52941176470588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IFERROR(__xludf.DUMMYFUNCTION("IMPORTRANGE(""https://docs.google.com/spreadsheets/d/1IYY_tgx_IHuhSq3AJ5eI5OnqOPBNLWSHKh2a30DoXe8/edit?usp=sharing"",""นครศรีธรรมราช!I470"")"),0)</f>
        <v>0</v>
      </c>
      <c r="J575" s="204">
        <f ca="1">IFERROR(__xludf.DUMMYFUNCTION("IMPORTRANGE(""https://docs.google.com/spreadsheets/d/1IYY_tgx_IHuhSq3AJ5eI5OnqOPBNLWSHKh2a30DoXe8/edit?usp=sharing"",""นครศรีธรรมราช!J470"")"),10)</f>
        <v>10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IFERROR(__xludf.DUMMYFUNCTION("IMPORTRANGE(""https://docs.google.com/spreadsheets/d/1IYY_tgx_IHuhSq3AJ5eI5OnqOPBNLWSHKh2a30DoXe8/edit?usp=sharing"",""นครศรีธรรมราช!I471"")"),0)</f>
        <v>0</v>
      </c>
      <c r="J576" s="204">
        <f ca="1">IFERROR(__xludf.DUMMYFUNCTION("IMPORTRANGE(""https://docs.google.com/spreadsheets/d/1IYY_tgx_IHuhSq3AJ5eI5OnqOPBNLWSHKh2a30DoXe8/edit?usp=sharing"",""นครศรีธรรมราช!J471"")"),693)</f>
        <v>693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IFERROR(__xludf.DUMMYFUNCTION("IMPORTRANGE(""https://docs.google.com/spreadsheets/d/1IYY_tgx_IHuhSq3AJ5eI5OnqOPBNLWSHKh2a30DoXe8/edit?usp=sharing"",""นครศรีธรรมราช!I472"")"),0)</f>
        <v>0</v>
      </c>
      <c r="J577" s="195">
        <f ca="1">IFERROR(__xludf.DUMMYFUNCTION("IMPORTRANGE(""https://docs.google.com/spreadsheets/d/1IYY_tgx_IHuhSq3AJ5eI5OnqOPBNLWSHKh2a30DoXe8/edit?usp=sharing"",""นครศรีธรรมราช!J472"")"),3124)</f>
        <v>3124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IFERROR(__xludf.DUMMYFUNCTION("IMPORTRANGE(""https://docs.google.com/spreadsheets/d/1IYY_tgx_IHuhSq3AJ5eI5OnqOPBNLWSHKh2a30DoXe8/edit?usp=sharing"",""นครศรีธรรมราช!I473"")"),0)</f>
        <v>0</v>
      </c>
      <c r="J578" s="204">
        <f ca="1">IFERROR(__xludf.DUMMYFUNCTION("IMPORTRANGE(""https://docs.google.com/spreadsheets/d/1IYY_tgx_IHuhSq3AJ5eI5OnqOPBNLWSHKh2a30DoXe8/edit?usp=sharing"",""นครศรีธรรมราช!J473"")"),0)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IFERROR(__xludf.DUMMYFUNCTION("IMPORTRANGE(""https://docs.google.com/spreadsheets/d/1IYY_tgx_IHuhSq3AJ5eI5OnqOPBNLWSHKh2a30DoXe8/edit?usp=sharing"",""นครศรีธรรมราช!I474"")"),0)</f>
        <v>0</v>
      </c>
      <c r="J579" s="204">
        <f ca="1">IFERROR(__xludf.DUMMYFUNCTION("IMPORTRANGE(""https://docs.google.com/spreadsheets/d/1IYY_tgx_IHuhSq3AJ5eI5OnqOPBNLWSHKh2a30DoXe8/edit?usp=sharing"",""นครศรีธรรมราช!J474"")"),0)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IFERROR(__xludf.DUMMYFUNCTION("IMPORTRANGE(""https://docs.google.com/spreadsheets/d/1IYY_tgx_IHuhSq3AJ5eI5OnqOPBNLWSHKh2a30DoXe8/edit?usp=sharing"",""นครศรีธรรมราช!J475"")"),2)</f>
        <v>2</v>
      </c>
      <c r="K580" s="378">
        <f ca="1">IF(I580&gt;0,J580*100/I580,0)</f>
        <v>7.4074074074074074</v>
      </c>
      <c r="L580" s="379">
        <f ca="1">IFERROR(__xludf.DUMMYFUNCTION("IMPORTRANGE(""https://docs.google.com/spreadsheets/d/1IYY_tgx_IHuhSq3AJ5eI5OnqOPBNLWSHKh2a30DoXe8/edit?usp=sharing"",""นครศรีธรรมราช!L475"")"),161177)</f>
        <v>161177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IFERROR(__xludf.DUMMYFUNCTION("IMPORTRANGE(""https://docs.google.com/spreadsheets/d/1IYY_tgx_IHuhSq3AJ5eI5OnqOPBNLWSHKh2a30DoXe8/edit?usp=sharing"",""นครศรีธรรมราช!M475"")"),12071)</f>
        <v>12071</v>
      </c>
      <c r="O580" s="379">
        <f t="shared" ref="O580:O584" ca="1" si="124">+IF(L580&gt;0,N580*100/L580,0)</f>
        <v>7.4892819695117794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IFERROR(__xludf.DUMMYFUNCTION("IMPORTRANGE(""https://docs.google.com/spreadsheets/d/1IYY_tgx_IHuhSq3AJ5eI5OnqOPBNLWSHKh2a30DoXe8/edit?usp=sharing"",""นครศรีธรรมราช!L476"")"),0)</f>
        <v>0</v>
      </c>
      <c r="M581" s="168"/>
      <c r="N581" s="175">
        <f ca="1">IFERROR(__xludf.DUMMYFUNCTION("IMPORTRANGE(""https://docs.google.com/spreadsheets/d/1IYY_tgx_IHuhSq3AJ5eI5OnqOPBNLWSHKh2a30DoXe8/edit?usp=sharing"",""นครศรีธรรมราช!M476"")"),0)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IFERROR(__xludf.DUMMYFUNCTION("IMPORTRANGE(""https://docs.google.com/spreadsheets/d/1IYY_tgx_IHuhSq3AJ5eI5OnqOPBNLWSHKh2a30DoXe8/edit?usp=sharing"",""นครศรีธรรมราช!L477"")"),161177)</f>
        <v>161177</v>
      </c>
      <c r="M582" s="169"/>
      <c r="N582" s="175">
        <f ca="1">IFERROR(__xludf.DUMMYFUNCTION("IMPORTRANGE(""https://docs.google.com/spreadsheets/d/1IYY_tgx_IHuhSq3AJ5eI5OnqOPBNLWSHKh2a30DoXe8/edit?usp=sharing"",""นครศรีธรรมราช!M477"")"),12071)</f>
        <v>12071</v>
      </c>
      <c r="O582" s="175">
        <f t="shared" ca="1" si="124"/>
        <v>7.4892819695117794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IFERROR(__xludf.DUMMYFUNCTION("IMPORTRANGE(""https://docs.google.com/spreadsheets/d/1IYY_tgx_IHuhSq3AJ5eI5OnqOPBNLWSHKh2a30DoXe8/edit?usp=sharing"",""นครศรีธรรมราช!L478"")"),0)</f>
        <v>0</v>
      </c>
      <c r="M583" s="175"/>
      <c r="N583" s="175">
        <f ca="1">IFERROR(__xludf.DUMMYFUNCTION("IMPORTRANGE(""https://docs.google.com/spreadsheets/d/1IYY_tgx_IHuhSq3AJ5eI5OnqOPBNLWSHKh2a30DoXe8/edit?usp=sharing"",""นครศรีธรรมราช!M478"")"),0)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IFERROR(__xludf.DUMMYFUNCTION("IMPORTRANGE(""https://docs.google.com/spreadsheets/d/1IYY_tgx_IHuhSq3AJ5eI5OnqOPBNLWSHKh2a30DoXe8/edit?usp=sharing"",""นครศรีธรรมราช!L479"")"),161177)</f>
        <v>161177</v>
      </c>
      <c r="M584" s="175"/>
      <c r="N584" s="175">
        <f ca="1">IFERROR(__xludf.DUMMYFUNCTION("IMPORTRANGE(""https://docs.google.com/spreadsheets/d/1IYY_tgx_IHuhSq3AJ5eI5OnqOPBNLWSHKh2a30DoXe8/edit?usp=sharing"",""นครศรีธรรมราช!M479"")"),12071)</f>
        <v>12071</v>
      </c>
      <c r="O584" s="175">
        <f t="shared" ca="1" si="124"/>
        <v>7.4892819695117794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IFERROR(__xludf.DUMMYFUNCTION("IMPORTRANGE(""https://docs.google.com/spreadsheets/d/1IYY_tgx_IHuhSq3AJ5eI5OnqOPBNLWSHKh2a30DoXe8/edit?usp=sharing"",""นครศรีธรรมราช!M480"")"),0)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IFERROR(__xludf.DUMMYFUNCTION("IMPORTRANGE(""https://docs.google.com/spreadsheets/d/1IYY_tgx_IHuhSq3AJ5eI5OnqOPBNLWSHKh2a30DoXe8/edit?usp=sharing"",""นครศรีธรรมราช!M481"")"),0)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IFERROR(__xludf.DUMMYFUNCTION("IMPORTRANGE(""https://docs.google.com/spreadsheets/d/1IYY_tgx_IHuhSq3AJ5eI5OnqOPBNLWSHKh2a30DoXe8/edit?usp=sharing"",""นครศรีธรรมราช!M482"")"),0)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IFERROR(__xludf.DUMMYFUNCTION("IMPORTRANGE(""https://docs.google.com/spreadsheets/d/1IYY_tgx_IHuhSq3AJ5eI5OnqOPBNLWSHKh2a30DoXe8/edit?usp=sharing"",""นครศรีธรรมราช!M483"")"),12071)</f>
        <v>12071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4">
        <f ca="1">IFERROR(__xludf.DUMMYFUNCTION("IMPORTRANGE(""https://docs.google.com/spreadsheets/d/1IYY_tgx_IHuhSq3AJ5eI5OnqOPBNLWSHKh2a30DoXe8/edit?usp=sharing"",""นครศรีธรรมราช!J484"")"),0)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4">
        <f ca="1">IFERROR(__xludf.DUMMYFUNCTION("IMPORTRANGE(""https://docs.google.com/spreadsheets/d/1IYY_tgx_IHuhSq3AJ5eI5OnqOPBNLWSHKh2a30DoXe8/edit?usp=sharing"",""นครศรีธรรมราช!J485"")"),0)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4">
        <f ca="1">IFERROR(__xludf.DUMMYFUNCTION("IMPORTRANGE(""https://docs.google.com/spreadsheets/d/1IYY_tgx_IHuhSq3AJ5eI5OnqOPBNLWSHKh2a30DoXe8/edit?usp=sharing"",""นครศรีธรรมราช!J486"")"),8)</f>
        <v>8</v>
      </c>
      <c r="K591" s="167">
        <f t="shared" ca="1" si="125"/>
        <v>29.62962962962963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4">
        <f ca="1">IFERROR(__xludf.DUMMYFUNCTION("IMPORTRANGE(""https://docs.google.com/spreadsheets/d/1IYY_tgx_IHuhSq3AJ5eI5OnqOPBNLWSHKh2a30DoXe8/edit?usp=sharing"",""นครศรีธรรมราช!J487"")"),3.49)</f>
        <v>3.49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4">
        <f ca="1">IFERROR(__xludf.DUMMYFUNCTION("IMPORTRANGE(""https://docs.google.com/spreadsheets/d/1IYY_tgx_IHuhSq3AJ5eI5OnqOPBNLWSHKh2a30DoXe8/edit?usp=sharing"",""นครศรีธรรมราช!J488"")"),0)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4">
        <f ca="1">IFERROR(__xludf.DUMMYFUNCTION("IMPORTRANGE(""https://docs.google.com/spreadsheets/d/1IYY_tgx_IHuhSq3AJ5eI5OnqOPBNLWSHKh2a30DoXe8/edit?usp=sharing"",""นครศรีธรรมราช!J489"")"),0)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4">
        <f ca="1">IFERROR(__xludf.DUMMYFUNCTION("IMPORTRANGE(""https://docs.google.com/spreadsheets/d/1IYY_tgx_IHuhSq3AJ5eI5OnqOPBNLWSHKh2a30DoXe8/edit?usp=sharing"",""นครศรีธรรมราช!J490"")"),2)</f>
        <v>2</v>
      </c>
      <c r="K595" s="167">
        <f t="shared" ca="1" si="125"/>
        <v>7.4074074074074074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IFERROR(__xludf.DUMMYFUNCTION("IMPORTRANGE(""https://docs.google.com/spreadsheets/d/1IYY_tgx_IHuhSq3AJ5eI5OnqOPBNLWSHKh2a30DoXe8/edit?usp=sharing"",""นครศรีธรรมราช!I491"")"),0)</f>
        <v>0</v>
      </c>
      <c r="J596" s="247">
        <f ca="1">IFERROR(__xludf.DUMMYFUNCTION("IMPORTRANGE(""https://docs.google.com/spreadsheets/d/1IYY_tgx_IHuhSq3AJ5eI5OnqOPBNLWSHKh2a30DoXe8/edit?usp=sharing"",""นครศรีธรรมราช!J491"")"),1.01)</f>
        <v>1.01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4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IFERROR(__xludf.DUMMYFUNCTION("IMPORTRANGE(""https://docs.google.com/spreadsheets/d/1IYY_tgx_IHuhSq3AJ5eI5OnqOPBNLWSHKh2a30DoXe8/edit?usp=sharing"",""นครศรีธรรมราช!L493"")"),0)</f>
        <v>0</v>
      </c>
      <c r="M598" s="168"/>
      <c r="N598" s="175">
        <f ca="1">IFERROR(__xludf.DUMMYFUNCTION("IMPORTRANGE(""https://docs.google.com/spreadsheets/d/1IYY_tgx_IHuhSq3AJ5eI5OnqOPBNLWSHKh2a30DoXe8/edit?usp=sharing"",""นครศรีธรรมราช!M493"")"),0)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69"/>
      <c r="N599" s="175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IFERROR(__xludf.DUMMYFUNCTION("IMPORTRANGE(""https://docs.google.com/spreadsheets/d/1IYY_tgx_IHuhSq3AJ5eI5OnqOPBNLWSHKh2a30DoXe8/edit?usp=sharing"",""นครศรีธรรมราช!L495"")"),0)</f>
        <v>0</v>
      </c>
      <c r="M600" s="175"/>
      <c r="N600" s="175">
        <f ca="1">IFERROR(__xludf.DUMMYFUNCTION("IMPORTRANGE(""https://docs.google.com/spreadsheets/d/1IYY_tgx_IHuhSq3AJ5eI5OnqOPBNLWSHKh2a30DoXe8/edit?usp=sharing"",""นครศรีธรรมราช!M495"")"),0)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5"/>
      <c r="N601" s="175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IFERROR(__xludf.DUMMYFUNCTION("IMPORTRANGE(""https://docs.google.com/spreadsheets/d/1IYY_tgx_IHuhSq3AJ5eI5OnqOPBNLWSHKh2a30DoXe8/edit?usp=sharing"",""นครศรีธรรมราช!M497"")"),0)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IFERROR(__xludf.DUMMYFUNCTION("IMPORTRANGE(""https://docs.google.com/spreadsheets/d/1IYY_tgx_IHuhSq3AJ5eI5OnqOPBNLWSHKh2a30DoXe8/edit?usp=sharing"",""นครศรีธรรมราช!M498"")"),0)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IFERROR(__xludf.DUMMYFUNCTION("IMPORTRANGE(""https://docs.google.com/spreadsheets/d/1IYY_tgx_IHuhSq3AJ5eI5OnqOPBNLWSHKh2a30DoXe8/edit?usp=sharing"",""นครศรีธรรมราช!J502"")"),0)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IFERROR(__xludf.DUMMYFUNCTION("IMPORTRANGE(""https://docs.google.com/spreadsheets/d/1IYY_tgx_IHuhSq3AJ5eI5OnqOPBNLWSHKh2a30DoXe8/edit?usp=sharing"",""นครศรีธรรมราช!J503"")"),1)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IFERROR(__xludf.DUMMYFUNCTION("IMPORTRANGE(""https://docs.google.com/spreadsheets/d/1IYY_tgx_IHuhSq3AJ5eI5OnqOPBNLWSHKh2a30DoXe8/edit?usp=sharing"",""นครศรีธรรมราช!J166"")"),0)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IFERROR(__xludf.DUMMYFUNCTION("IMPORTRANGE(""https://docs.google.com/spreadsheets/d/1IYY_tgx_IHuhSq3AJ5eI5OnqOPBNLWSHKh2a30DoXe8/edit?usp=sharing"",""นครศรีธรรมราช!J166"")"),0)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6">
        <f ca="1">IFERROR(__xludf.DUMMYFUNCTION("IMPORTRANGE(""https://docs.google.com/spreadsheets/d/1IYY_tgx_IHuhSq3AJ5eI5OnqOPBNLWSHKh2a30DoXe8/edit?usp=sharing"",""นครศรีธรรมราช!J506"")"),0)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IFERROR(__xludf.DUMMYFUNCTION("IMPORTRANGE(""https://docs.google.com/spreadsheets/d/1IYY_tgx_IHuhSq3AJ5eI5OnqOPBNLWSHKh2a30DoXe8/edit?usp=sharing"",""นครศรีธรรมราช!I507"")"),0)</f>
        <v>0</v>
      </c>
      <c r="J612" s="204">
        <f ca="1">IFERROR(__xludf.DUMMYFUNCTION("IMPORTRANGE(""https://docs.google.com/spreadsheets/d/1IYY_tgx_IHuhSq3AJ5eI5OnqOPBNLWSHKh2a30DoXe8/edit?usp=sharing"",""นครศรีธรรมราช!J507"")"),0)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IFERROR(__xludf.DUMMYFUNCTION("IMPORTRANGE(""https://docs.google.com/spreadsheets/d/1IYY_tgx_IHuhSq3AJ5eI5OnqOPBNLWSHKh2a30DoXe8/edit?usp=sharing"",""นครศรีธรรมราช!I508"")"),0)</f>
        <v>0</v>
      </c>
      <c r="J613" s="204">
        <f ca="1">IFERROR(__xludf.DUMMYFUNCTION("IMPORTRANGE(""https://docs.google.com/spreadsheets/d/1IYY_tgx_IHuhSq3AJ5eI5OnqOPBNLWSHKh2a30DoXe8/edit?usp=sharing"",""นครศรีธรรมราช!J508"")"),0)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IFERROR(__xludf.DUMMYFUNCTION("IMPORTRANGE(""https://docs.google.com/spreadsheets/d/1IYY_tgx_IHuhSq3AJ5eI5OnqOPBNLWSHKh2a30DoXe8/edit?usp=sharing"",""นครศรีธรรมราช!I509"")"),0)</f>
        <v>0</v>
      </c>
      <c r="J614" s="204">
        <f ca="1">IFERROR(__xludf.DUMMYFUNCTION("IMPORTRANGE(""https://docs.google.com/spreadsheets/d/1IYY_tgx_IHuhSq3AJ5eI5OnqOPBNLWSHKh2a30DoXe8/edit?usp=sharing"",""นครศรีธรรมราช!J509"")"),0)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IFERROR(__xludf.DUMMYFUNCTION("IMPORTRANGE(""https://docs.google.com/spreadsheets/d/1IYY_tgx_IHuhSq3AJ5eI5OnqOPBNLWSHKh2a30DoXe8/edit?usp=sharing"",""นครศรีธรรมราช!I510"")"),0)</f>
        <v>0</v>
      </c>
      <c r="J615" s="204">
        <f ca="1">IFERROR(__xludf.DUMMYFUNCTION("IMPORTRANGE(""https://docs.google.com/spreadsheets/d/1IYY_tgx_IHuhSq3AJ5eI5OnqOPBNLWSHKh2a30DoXe8/edit?usp=sharing"",""นครศรีธรรมราช!J510"")"),0)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IFERROR(__xludf.DUMMYFUNCTION("IMPORTRANGE(""https://docs.google.com/spreadsheets/d/1IYY_tgx_IHuhSq3AJ5eI5OnqOPBNLWSHKh2a30DoXe8/edit?usp=sharing"",""นครศรีธรรมราช!I511"")"),0)</f>
        <v>0</v>
      </c>
      <c r="J616" s="204">
        <f ca="1">IFERROR(__xludf.DUMMYFUNCTION("IMPORTRANGE(""https://docs.google.com/spreadsheets/d/1IYY_tgx_IHuhSq3AJ5eI5OnqOPBNLWSHKh2a30DoXe8/edit?usp=sharing"",""นครศรีธรรมราช!J511"")"),0)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IFERROR(__xludf.DUMMYFUNCTION("IMPORTRANGE(""https://docs.google.com/spreadsheets/d/1IYY_tgx_IHuhSq3AJ5eI5OnqOPBNLWSHKh2a30DoXe8/edit?usp=sharing"",""นครศรีธรรมราช!I512"")"),0)</f>
        <v>0</v>
      </c>
      <c r="J617" s="194">
        <f ca="1">IFERROR(__xludf.DUMMYFUNCTION("IMPORTRANGE(""https://docs.google.com/spreadsheets/d/1IYY_tgx_IHuhSq3AJ5eI5OnqOPBNLWSHKh2a30DoXe8/edit?usp=sharing"",""นครศรีธรรมราช!J512"")"),0)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IFERROR(__xludf.DUMMYFUNCTION("IMPORTRANGE(""https://docs.google.com/spreadsheets/d/1IYY_tgx_IHuhSq3AJ5eI5OnqOPBNLWSHKh2a30DoXe8/edit?usp=sharing"",""นครศรีธรรมราช!I513"")"),0)</f>
        <v>0</v>
      </c>
      <c r="J618" s="195">
        <f ca="1">IFERROR(__xludf.DUMMYFUNCTION("IMPORTRANGE(""https://docs.google.com/spreadsheets/d/1IYY_tgx_IHuhSq3AJ5eI5OnqOPBNLWSHKh2a30DoXe8/edit?usp=sharing"",""นครศรีธรรมราช!J513"")"),0)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IFERROR(__xludf.DUMMYFUNCTION("IMPORTRANGE(""https://docs.google.com/spreadsheets/d/1IYY_tgx_IHuhSq3AJ5eI5OnqOPBNLWSHKh2a30DoXe8/edit?usp=sharing"",""นครศรีธรรมราช!I514"")"),0)</f>
        <v>0</v>
      </c>
      <c r="J619" s="195">
        <f ca="1">IFERROR(__xludf.DUMMYFUNCTION("IMPORTRANGE(""https://docs.google.com/spreadsheets/d/1IYY_tgx_IHuhSq3AJ5eI5OnqOPBNLWSHKh2a30DoXe8/edit?usp=sharing"",""นครศรีธรรมราช!J514"")"),0)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IFERROR(__xludf.DUMMYFUNCTION("IMPORTRANGE(""https://docs.google.com/spreadsheets/d/1IYY_tgx_IHuhSq3AJ5eI5OnqOPBNLWSHKh2a30DoXe8/edit?usp=sharing"",""นครศรีธรรมราช!I515"")"),0)</f>
        <v>0</v>
      </c>
      <c r="J620" s="209">
        <f ca="1">IFERROR(__xludf.DUMMYFUNCTION("IMPORTRANGE(""https://docs.google.com/spreadsheets/d/1IYY_tgx_IHuhSq3AJ5eI5OnqOPBNLWSHKh2a30DoXe8/edit?usp=sharing"",""นครศรีธรรมราช!J515"")"),0)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IFERROR(__xludf.DUMMYFUNCTION("IMPORTRANGE(""https://docs.google.com/spreadsheets/d/1IYY_tgx_IHuhSq3AJ5eI5OnqOPBNLWSHKh2a30DoXe8/edit?usp=sharing"",""นครศรีธรรมราช!I516"")"),0)</f>
        <v>0</v>
      </c>
      <c r="J621" s="209">
        <f ca="1">IFERROR(__xludf.DUMMYFUNCTION("IMPORTRANGE(""https://docs.google.com/spreadsheets/d/1IYY_tgx_IHuhSq3AJ5eI5OnqOPBNLWSHKh2a30DoXe8/edit?usp=sharing"",""นครศรีธรรมราช!J516"")"),0)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IFERROR(__xludf.DUMMYFUNCTION("IMPORTRANGE(""https://docs.google.com/spreadsheets/d/1IYY_tgx_IHuhSq3AJ5eI5OnqOPBNLWSHKh2a30DoXe8/edit?usp=sharing"",""นครศรีธรรมราช!I517"")"),0)</f>
        <v>0</v>
      </c>
      <c r="J622" s="195">
        <f ca="1">IFERROR(__xludf.DUMMYFUNCTION("IMPORTRANGE(""https://docs.google.com/spreadsheets/d/1IYY_tgx_IHuhSq3AJ5eI5OnqOPBNLWSHKh2a30DoXe8/edit?usp=sharing"",""นครศรีธรรมราช!J517"")"),0)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IFERROR(__xludf.DUMMYFUNCTION("IMPORTRANGE(""https://docs.google.com/spreadsheets/d/1IYY_tgx_IHuhSq3AJ5eI5OnqOPBNLWSHKh2a30DoXe8/edit?usp=sharing"",""นครศรีธรรมราช!I518"")"),0)</f>
        <v>0</v>
      </c>
      <c r="J623" s="195">
        <f ca="1">IFERROR(__xludf.DUMMYFUNCTION("IMPORTRANGE(""https://docs.google.com/spreadsheets/d/1IYY_tgx_IHuhSq3AJ5eI5OnqOPBNLWSHKh2a30DoXe8/edit?usp=sharing"",""นครศรีธรรมราช!J518"")"),0)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IFERROR(__xludf.DUMMYFUNCTION("IMPORTRANGE(""https://docs.google.com/spreadsheets/d/1IYY_tgx_IHuhSq3AJ5eI5OnqOPBNLWSHKh2a30DoXe8/edit?usp=sharing"",""นครศรีธรรมราช!I519"")"),0)</f>
        <v>0</v>
      </c>
      <c r="J624" s="194">
        <f ca="1">IFERROR(__xludf.DUMMYFUNCTION("IMPORTRANGE(""https://docs.google.com/spreadsheets/d/1IYY_tgx_IHuhSq3AJ5eI5OnqOPBNLWSHKh2a30DoXe8/edit?usp=sharing"",""นครศรีธรรมราช!J519"")"),0)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IFERROR(__xludf.DUMMYFUNCTION("IMPORTRANGE(""https://docs.google.com/spreadsheets/d/1IYY_tgx_IHuhSq3AJ5eI5OnqOPBNLWSHKh2a30DoXe8/edit?usp=sharing"",""นครศรีธรรมราช!I520"")"),0)</f>
        <v>0</v>
      </c>
      <c r="J625" s="195">
        <f ca="1">IFERROR(__xludf.DUMMYFUNCTION("IMPORTRANGE(""https://docs.google.com/spreadsheets/d/1IYY_tgx_IHuhSq3AJ5eI5OnqOPBNLWSHKh2a30DoXe8/edit?usp=sharing"",""นครศรีธรรมราช!J520"")"),0)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IFERROR(__xludf.DUMMYFUNCTION("IMPORTRANGE(""https://docs.google.com/spreadsheets/d/1IYY_tgx_IHuhSq3AJ5eI5OnqOPBNLWSHKh2a30DoXe8/edit?usp=sharing"",""นครศรีธรรมราช!I521"")"),0)</f>
        <v>0</v>
      </c>
      <c r="J626" s="195">
        <f ca="1">IFERROR(__xludf.DUMMYFUNCTION("IMPORTRANGE(""https://docs.google.com/spreadsheets/d/1IYY_tgx_IHuhSq3AJ5eI5OnqOPBNLWSHKh2a30DoXe8/edit?usp=sharing"",""นครศรีธรรมราช!J521"")"),0)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IFERROR(__xludf.DUMMYFUNCTION("IMPORTRANGE(""https://docs.google.com/spreadsheets/d/1IYY_tgx_IHuhSq3AJ5eI5OnqOPBNLWSHKh2a30DoXe8/edit?usp=sharing"",""นครศรีธรรมราช!J523"")"),1126367.72)</f>
        <v>1126367.72</v>
      </c>
      <c r="K628" s="348">
        <f t="shared" ref="K628:K635" ca="1" si="129">IF(I628&gt;0,J628*100/I628,0)</f>
        <v>51.929260270046619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IFERROR(__xludf.DUMMYFUNCTION("IMPORTRANGE(""https://docs.google.com/spreadsheets/d/1IYY_tgx_IHuhSq3AJ5eI5OnqOPBNLWSHKh2a30DoXe8/edit?usp=sharing"",""นครศรีธรรมราช!J524"")"),77)</f>
        <v>77</v>
      </c>
      <c r="K629" s="348">
        <f t="shared" ca="1" si="129"/>
        <v>49.358974358974358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IFERROR(__xludf.DUMMYFUNCTION("IMPORTRANGE(""https://docs.google.com/spreadsheets/d/1IYY_tgx_IHuhSq3AJ5eI5OnqOPBNLWSHKh2a30DoXe8/edit?usp=sharing"",""นครศรีธรรมราช!J525"")"),533138.72)</f>
        <v>533138.72</v>
      </c>
      <c r="K630" s="348">
        <f t="shared" ca="1" si="129"/>
        <v>21.629515387706423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IFERROR(__xludf.DUMMYFUNCTION("IMPORTRANGE(""https://docs.google.com/spreadsheets/d/1IYY_tgx_IHuhSq3AJ5eI5OnqOPBNLWSHKh2a30DoXe8/edit?usp=sharing"",""นครศรีธรรมราช!J526"")"),84)</f>
        <v>84</v>
      </c>
      <c r="K631" s="348">
        <f t="shared" ca="1" si="129"/>
        <v>80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IFERROR(__xludf.DUMMYFUNCTION("IMPORTRANGE(""https://docs.google.com/spreadsheets/d/1IYY_tgx_IHuhSq3AJ5eI5OnqOPBNLWSHKh2a30DoXe8/edit?usp=sharing"",""นครศรีธรรมราช!I529"")"),2000000)</f>
        <v>2000000</v>
      </c>
      <c r="J634" s="347">
        <f ca="1">IFERROR(__xludf.DUMMYFUNCTION("IMPORTRANGE(""https://docs.google.com/spreadsheets/d/1IYY_tgx_IHuhSq3AJ5eI5OnqOPBNLWSHKh2a30DoXe8/edit?usp=sharing"",""นครศรีธรรมราช!J529"")"),2000000)</f>
        <v>2000000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IFERROR(__xludf.DUMMYFUNCTION("IMPORTRANGE(""https://docs.google.com/spreadsheets/d/1IYY_tgx_IHuhSq3AJ5eI5OnqOPBNLWSHKh2a30DoXe8/edit?usp=sharing"",""นครศรีธรรมราช!I530"")"),70)</f>
        <v>70</v>
      </c>
      <c r="J635" s="518">
        <f ca="1">IFERROR(__xludf.DUMMYFUNCTION("IMPORTRANGE(""https://docs.google.com/spreadsheets/d/1IYY_tgx_IHuhSq3AJ5eI5OnqOPBNLWSHKh2a30DoXe8/edit?usp=sharing"",""นครศรีธรรมราช!J530"")"),58)</f>
        <v>58</v>
      </c>
      <c r="K635" s="493">
        <f t="shared" ca="1" si="129"/>
        <v>82.857142857142861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IFERROR(__xludf.DUMMYFUNCTION("IMPORTRANGE(""https://docs.google.com/spreadsheets/d/1IYY_tgx_IHuhSq3AJ5eI5OnqOPBNLWSHKh2a30DoXe8/edit?usp=sharing"",""นครศรีธรรมราช!J541"")"),0)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IFERROR(__xludf.DUMMYFUNCTION("IMPORTRANGE(""https://docs.google.com/spreadsheets/d/1IYY_tgx_IHuhSq3AJ5eI5OnqOPBNLWSHKh2a30DoXe8/edit?usp=sharing"",""นครศรีธรรมราช!J542"")"),0)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IFERROR(__xludf.DUMMYFUNCTION("IMPORTRANGE(""https://docs.google.com/spreadsheets/d/1IYY_tgx_IHuhSq3AJ5eI5OnqOPBNLWSHKh2a30DoXe8/edit?usp=sharing"",""นครศรีธรรมราช!I543"")"),0)</f>
        <v>0</v>
      </c>
      <c r="J648" s="547">
        <f ca="1">IFERROR(__xludf.DUMMYFUNCTION("IMPORTRANGE(""https://docs.google.com/spreadsheets/d/1IYY_tgx_IHuhSq3AJ5eI5OnqOPBNLWSHKh2a30DoXe8/edit?usp=sharing"",""นครศรีธรรมราช!J543"")"),0)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IFERROR(__xludf.DUMMYFUNCTION("IMPORTRANGE(""https://docs.google.com/spreadsheets/d/1IYY_tgx_IHuhSq3AJ5eI5OnqOPBNLWSHKh2a30DoXe8/edit?usp=sharing"",""นครศรีธรรมราช!L543"")"),0)</f>
        <v>0</v>
      </c>
      <c r="M648" s="534"/>
      <c r="N648" s="549">
        <f ca="1">IFERROR(__xludf.DUMMYFUNCTION("IMPORTRANGE(""https://docs.google.com/spreadsheets/d/1IYY_tgx_IHuhSq3AJ5eI5OnqOPBNLWSHKh2a30DoXe8/edit?usp=sharing"",""นครศรีธรรมราช!M543"")"),0)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IFERROR(__xludf.DUMMYFUNCTION("IMPORTRANGE(""https://docs.google.com/spreadsheets/d/1IYY_tgx_IHuhSq3AJ5eI5OnqOPBNLWSHKh2a30DoXe8/edit?usp=sharing"",""นครศรีธรรมราช!I544"")"),0)</f>
        <v>0</v>
      </c>
      <c r="J649" s="547">
        <f ca="1">IFERROR(__xludf.DUMMYFUNCTION("IMPORTRANGE(""https://docs.google.com/spreadsheets/d/1IYY_tgx_IHuhSq3AJ5eI5OnqOPBNLWSHKh2a30DoXe8/edit?usp=sharing"",""นครศรีธรรมราช!J544"")"),0)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IFERROR(__xludf.DUMMYFUNCTION("IMPORTRANGE(""https://docs.google.com/spreadsheets/d/1IYY_tgx_IHuhSq3AJ5eI5OnqOPBNLWSHKh2a30DoXe8/edit?usp=sharing"",""นครศรีธรรมราช!L544"")"),0)</f>
        <v>0</v>
      </c>
      <c r="M649" s="534"/>
      <c r="N649" s="549">
        <f ca="1">IFERROR(__xludf.DUMMYFUNCTION("IMPORTRANGE(""https://docs.google.com/spreadsheets/d/1IYY_tgx_IHuhSq3AJ5eI5OnqOPBNLWSHKh2a30DoXe8/edit?usp=sharing"",""นครศรีธรรมราช!M544"")"),0)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IFERROR(__xludf.DUMMYFUNCTION("IMPORTRANGE(""https://docs.google.com/spreadsheets/d/1IYY_tgx_IHuhSq3AJ5eI5OnqOPBNLWSHKh2a30DoXe8/edit?usp=sharing"",""นครศรีธรรมราช!I545"")"),0)</f>
        <v>0</v>
      </c>
      <c r="J650" s="547">
        <f ca="1">IFERROR(__xludf.DUMMYFUNCTION("IMPORTRANGE(""https://docs.google.com/spreadsheets/d/1IYY_tgx_IHuhSq3AJ5eI5OnqOPBNLWSHKh2a30DoXe8/edit?usp=sharing"",""นครศรีธรรมราช!J545"")"),0)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IFERROR(__xludf.DUMMYFUNCTION("IMPORTRANGE(""https://docs.google.com/spreadsheets/d/1IYY_tgx_IHuhSq3AJ5eI5OnqOPBNLWSHKh2a30DoXe8/edit?usp=sharing"",""นครศรีธรรมราช!L545"")"),0)</f>
        <v>0</v>
      </c>
      <c r="M650" s="534"/>
      <c r="N650" s="549">
        <f ca="1">IFERROR(__xludf.DUMMYFUNCTION("IMPORTRANGE(""https://docs.google.com/spreadsheets/d/1IYY_tgx_IHuhSq3AJ5eI5OnqOPBNLWSHKh2a30DoXe8/edit?usp=sharing"",""นครศรีธรรมราช!M545"")"),0)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IFERROR(__xludf.DUMMYFUNCTION("IMPORTRANGE(""https://docs.google.com/spreadsheets/d/1IYY_tgx_IHuhSq3AJ5eI5OnqOPBNLWSHKh2a30DoXe8/edit?usp=sharing"",""นครศรีธรรมราช!I546"")"),0)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IFERROR(__xludf.DUMMYFUNCTION("IMPORTRANGE(""https://docs.google.com/spreadsheets/d/1IYY_tgx_IHuhSq3AJ5eI5OnqOPBNLWSHKh2a30DoXe8/edit?usp=sharing"",""นครศรีธรรมราช!L546"")"),0)</f>
        <v>0</v>
      </c>
      <c r="M651" s="534"/>
      <c r="N651" s="549">
        <f ca="1">IFERROR(__xludf.DUMMYFUNCTION("IMPORTRANGE(""https://docs.google.com/spreadsheets/d/1IYY_tgx_IHuhSq3AJ5eI5OnqOPBNLWSHKh2a30DoXe8/edit?usp=sharing"",""นครศรีธรรมราช!M546"")"),0)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IFERROR(__xludf.DUMMYFUNCTION("IMPORTRANGE(""https://docs.google.com/spreadsheets/d/1IYY_tgx_IHuhSq3AJ5eI5OnqOPBNLWSHKh2a30DoXe8/edit?usp=sharing"",""นครศรีธรรมราช!J547"")"),0)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IFERROR(__xludf.DUMMYFUNCTION("IMPORTRANGE(""https://docs.google.com/spreadsheets/d/1IYY_tgx_IHuhSq3AJ5eI5OnqOPBNLWSHKh2a30DoXe8/edit?usp=sharing"",""นครศรีธรรมราช!J548"")"),0)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IFERROR(__xludf.DUMMYFUNCTION("IMPORTRANGE(""https://docs.google.com/spreadsheets/d/1IYY_tgx_IHuhSq3AJ5eI5OnqOPBNLWSHKh2a30DoXe8/edit?usp=sharing"",""นครศรีธรรมราช!J550"")"),0)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IFERROR(__xludf.DUMMYFUNCTION("IMPORTRANGE(""https://docs.google.com/spreadsheets/d/1IYY_tgx_IHuhSq3AJ5eI5OnqOPBNLWSHKh2a30DoXe8/edit?usp=sharing"",""นครศรีธรรมราช!J551"")"),0)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IFERROR(__xludf.DUMMYFUNCTION("IMPORTRANGE(""https://docs.google.com/spreadsheets/d/1IYY_tgx_IHuhSq3AJ5eI5OnqOPBNLWSHKh2a30DoXe8/edit?usp=sharing"",""นครศรีธรรมราช!J552"")"),0)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IFERROR(__xludf.DUMMYFUNCTION("IMPORTRANGE(""https://docs.google.com/spreadsheets/d/1IYY_tgx_IHuhSq3AJ5eI5OnqOPBNLWSHKh2a30DoXe8/edit?usp=sharing"",""นครศรีธรรมราช!J553"")"),0)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IFERROR(__xludf.DUMMYFUNCTION("IMPORTRANGE(""https://docs.google.com/spreadsheets/d/1IYY_tgx_IHuhSq3AJ5eI5OnqOPBNLWSHKh2a30DoXe8/edit?usp=sharing"",""นครศรีธรรมราช!J554"")"),0)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IFERROR(__xludf.DUMMYFUNCTION("IMPORTRANGE(""https://docs.google.com/spreadsheets/d/1IYY_tgx_IHuhSq3AJ5eI5OnqOPBNLWSHKh2a30DoXe8/edit?usp=sharing"",""นครศรีธรรมราช!J555"")"),0)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IFERROR(__xludf.DUMMYFUNCTION("IMPORTRANGE(""https://docs.google.com/spreadsheets/d/1IYY_tgx_IHuhSq3AJ5eI5OnqOPBNLWSHKh2a30DoXe8/edit?usp=sharing"",""นครศรีธรรมราช!J556"")"),0)</f>
        <v>0</v>
      </c>
      <c r="K661" s="548"/>
      <c r="L661" s="535">
        <f ca="1">IFERROR(__xludf.DUMMYFUNCTION("IMPORTRANGE(""https://docs.google.com/spreadsheets/d/1IYY_tgx_IHuhSq3AJ5eI5OnqOPBNLWSHKh2a30DoXe8/edit?usp=sharing"",""นครศรีธรรมราช!L556"")"),0)</f>
        <v>0</v>
      </c>
      <c r="M661" s="534"/>
      <c r="N661" s="549">
        <f ca="1">IFERROR(__xludf.DUMMYFUNCTION("IMPORTRANGE(""https://docs.google.com/spreadsheets/d/1IYY_tgx_IHuhSq3AJ5eI5OnqOPBNLWSHKh2a30DoXe8/edit?usp=sharing"",""นครศรีธรรมราช!M556"")"),0)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IFERROR(__xludf.DUMMYFUNCTION("IMPORTRANGE(""https://docs.google.com/spreadsheets/d/1IYY_tgx_IHuhSq3AJ5eI5OnqOPBNLWSHKh2a30DoXe8/edit?usp=sharing"",""นครศรีธรรมราช!J557"")"),0)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IFERROR(__xludf.DUMMYFUNCTION("IMPORTRANGE(""https://docs.google.com/spreadsheets/d/1IYY_tgx_IHuhSq3AJ5eI5OnqOPBNLWSHKh2a30DoXe8/edit?usp=sharing"",""นครศรีธรรมราช!I558"")"),0)</f>
        <v>0</v>
      </c>
      <c r="J663" s="547">
        <f ca="1">IFERROR(__xludf.DUMMYFUNCTION("IMPORTRANGE(""https://docs.google.com/spreadsheets/d/1IYY_tgx_IHuhSq3AJ5eI5OnqOPBNLWSHKh2a30DoXe8/edit?usp=sharing"",""นครศรีธรรมราช!J558"")"),0)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IFERROR(__xludf.DUMMYFUNCTION("IMPORTRANGE(""https://docs.google.com/spreadsheets/d/1IYY_tgx_IHuhSq3AJ5eI5OnqOPBNLWSHKh2a30DoXe8/edit?usp=sharing"",""นครศรีธรรมราช!I560"")"),0)</f>
        <v>0</v>
      </c>
      <c r="J665" s="547">
        <f ca="1">IFERROR(__xludf.DUMMYFUNCTION("IMPORTRANGE(""https://docs.google.com/spreadsheets/d/1IYY_tgx_IHuhSq3AJ5eI5OnqOPBNLWSHKh2a30DoXe8/edit?usp=sharing"",""นครศรีธรรมราช!J560"")"),0)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IFERROR(__xludf.DUMMYFUNCTION("IMPORTRANGE(""https://docs.google.com/spreadsheets/d/1IYY_tgx_IHuhSq3AJ5eI5OnqOPBNLWSHKh2a30DoXe8/edit?usp=sharing"",""นครศรีธรรมราช!L560"")"),0)</f>
        <v>0</v>
      </c>
      <c r="M665" s="534"/>
      <c r="N665" s="549">
        <f ca="1">IFERROR(__xludf.DUMMYFUNCTION("IMPORTRANGE(""https://docs.google.com/spreadsheets/d/1IYY_tgx_IHuhSq3AJ5eI5OnqOPBNLWSHKh2a30DoXe8/edit?usp=sharing"",""นครศรีธรรมราช!M560"")"),0)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IFERROR(__xludf.DUMMYFUNCTION("IMPORTRANGE(""https://docs.google.com/spreadsheets/d/1IYY_tgx_IHuhSq3AJ5eI5OnqOPBNLWSHKh2a30DoXe8/edit?usp=sharing"",""นครศรีธรรมราช!J561"")"),0)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IFERROR(__xludf.DUMMYFUNCTION("IMPORTRANGE(""https://docs.google.com/spreadsheets/d/1IYY_tgx_IHuhSq3AJ5eI5OnqOPBNLWSHKh2a30DoXe8/edit?usp=sharing"",""นครศรีธรรมราช!J562"")"),0)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IFERROR(__xludf.DUMMYFUNCTION("IMPORTRANGE(""https://docs.google.com/spreadsheets/d/1IYY_tgx_IHuhSq3AJ5eI5OnqOPBNLWSHKh2a30DoXe8/edit?usp=sharing"",""นครศรีธรรมราช!I563"")"),0)</f>
        <v>0</v>
      </c>
      <c r="J668" s="547">
        <f ca="1">IFERROR(__xludf.DUMMYFUNCTION("IMPORTRANGE(""https://docs.google.com/spreadsheets/d/1IYY_tgx_IHuhSq3AJ5eI5OnqOPBNLWSHKh2a30DoXe8/edit?usp=sharing"",""นครศรีธรรมราช!J563"")"),0)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IFERROR(__xludf.DUMMYFUNCTION("IMPORTRANGE(""https://docs.google.com/spreadsheets/d/1IYY_tgx_IHuhSq3AJ5eI5OnqOPBNLWSHKh2a30DoXe8/edit?usp=sharing"",""นครศรีธรรมราช!L563"")"),0)</f>
        <v>0</v>
      </c>
      <c r="M668" s="534"/>
      <c r="N668" s="549">
        <f ca="1">IFERROR(__xludf.DUMMYFUNCTION("IMPORTRANGE(""https://docs.google.com/spreadsheets/d/1IYY_tgx_IHuhSq3AJ5eI5OnqOPBNLWSHKh2a30DoXe8/edit?usp=sharing"",""นครศรีธรรมราช!M563"")"),0)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IFERROR(__xludf.DUMMYFUNCTION("IMPORTRANGE(""https://docs.google.com/spreadsheets/d/1IYY_tgx_IHuhSq3AJ5eI5OnqOPBNLWSHKh2a30DoXe8/edit?usp=sharing"",""นครศรีธรรมราช!J564"")"),0)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IFERROR(__xludf.DUMMYFUNCTION("IMPORTRANGE(""https://docs.google.com/spreadsheets/d/1IYY_tgx_IHuhSq3AJ5eI5OnqOPBNLWSHKh2a30DoXe8/edit?usp=sharing"",""นครศรีธรรมราช!J565"")"),0)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IFERROR(__xludf.DUMMYFUNCTION("IMPORTRANGE(""https://docs.google.com/spreadsheets/d/1IYY_tgx_IHuhSq3AJ5eI5OnqOPBNLWSHKh2a30DoXe8/edit?usp=sharing"",""นครศรีธรรมราช!I566"")"),0)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IFERROR(__xludf.DUMMYFUNCTION("IMPORTRANGE(""https://docs.google.com/spreadsheets/d/1IYY_tgx_IHuhSq3AJ5eI5OnqOPBNLWSHKh2a30DoXe8/edit?usp=sharing"",""นครศรีธรรมราช!L566"")"),0)</f>
        <v>0</v>
      </c>
      <c r="M671" s="534"/>
      <c r="N671" s="549">
        <f ca="1">IFERROR(__xludf.DUMMYFUNCTION("IMPORTRANGE(""https://docs.google.com/spreadsheets/d/1IYY_tgx_IHuhSq3AJ5eI5OnqOPBNLWSHKh2a30DoXe8/edit?usp=sharing"",""นครศรีธรรมราช!M566"")"),0)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IFERROR(__xludf.DUMMYFUNCTION("IMPORTRANGE(""https://docs.google.com/spreadsheets/d/1IYY_tgx_IHuhSq3AJ5eI5OnqOPBNLWSHKh2a30DoXe8/edit?usp=sharing"",""นครศรีธรรมราช!J567"")"),0)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IFERROR(__xludf.DUMMYFUNCTION("IMPORTRANGE(""https://docs.google.com/spreadsheets/d/1IYY_tgx_IHuhSq3AJ5eI5OnqOPBNLWSHKh2a30DoXe8/edit?usp=sharing"",""นครศรีธรรมราช!J568"")"),0)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IFERROR(__xludf.DUMMYFUNCTION("IMPORTRANGE(""https://docs.google.com/spreadsheets/d/1IYY_tgx_IHuhSq3AJ5eI5OnqOPBNLWSHKh2a30DoXe8/edit?usp=sharing"",""นครศรีธรรมราช!J569"")"),0)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IFERROR(__xludf.DUMMYFUNCTION("IMPORTRANGE(""https://docs.google.com/spreadsheets/d/1IYY_tgx_IHuhSq3AJ5eI5OnqOPBNLWSHKh2a30DoXe8/edit?usp=sharing"",""นครศรีธรรมราช!J570"")"),0)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IFERROR(__xludf.DUMMYFUNCTION("IMPORTRANGE(""https://docs.google.com/spreadsheets/d/1IYY_tgx_IHuhSq3AJ5eI5OnqOPBNLWSHKh2a30DoXe8/edit?usp=sharing"",""นครศรีธรรมราช!J571"")"),0)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IFERROR(__xludf.DUMMYFUNCTION("IMPORTRANGE(""https://docs.google.com/spreadsheets/d/1IYY_tgx_IHuhSq3AJ5eI5OnqOPBNLWSHKh2a30DoXe8/edit?usp=sharing"",""นครศรีธรรมราช!J572"")"),0)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268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4119253</v>
      </c>
      <c r="M8" s="23">
        <f t="shared" ca="1" si="0"/>
        <v>2750806</v>
      </c>
      <c r="N8" s="23">
        <f t="shared" ca="1" si="0"/>
        <v>3829969.74</v>
      </c>
      <c r="O8" s="22">
        <f t="shared" ref="O8:O16" ca="1" si="1">IF(L8&gt;0,N8*100/L8,0)</f>
        <v>92.977288357864879</v>
      </c>
      <c r="P8" s="22">
        <f t="shared" ref="P8:P16" ca="1" si="2">IF(M8&gt;0,N8*100/M8,0)</f>
        <v>139.23081962159455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4119253</v>
      </c>
      <c r="M10" s="30">
        <f t="shared" ca="1" si="4"/>
        <v>2750806</v>
      </c>
      <c r="N10" s="30">
        <f t="shared" ca="1" si="4"/>
        <v>3829969.74</v>
      </c>
      <c r="O10" s="29">
        <f t="shared" ca="1" si="1"/>
        <v>92.977288357864879</v>
      </c>
      <c r="P10" s="29">
        <f t="shared" ca="1" si="2"/>
        <v>139.23081962159455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2264853</v>
      </c>
      <c r="M12" s="38">
        <f t="shared" ca="1" si="6"/>
        <v>1800406</v>
      </c>
      <c r="N12" s="38">
        <f t="shared" ca="1" si="6"/>
        <v>1975569.74</v>
      </c>
      <c r="O12" s="38">
        <f t="shared" ca="1" si="1"/>
        <v>87.227283183500205</v>
      </c>
      <c r="P12" s="38">
        <f t="shared" ca="1" si="2"/>
        <v>109.72912443082282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1368300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896553</v>
      </c>
      <c r="M14" s="38">
        <f t="shared" si="8"/>
        <v>0</v>
      </c>
      <c r="N14" s="38">
        <f t="shared" ca="1" si="8"/>
        <v>589711.44999999995</v>
      </c>
      <c r="O14" s="41">
        <f t="shared" ca="1" si="1"/>
        <v>65.775414281141209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1854400</v>
      </c>
      <c r="M16" s="38">
        <f t="shared" ca="1" si="10"/>
        <v>950400</v>
      </c>
      <c r="N16" s="38">
        <f t="shared" ca="1" si="10"/>
        <v>1854400</v>
      </c>
      <c r="O16" s="50">
        <f t="shared" ca="1" si="1"/>
        <v>100</v>
      </c>
      <c r="P16" s="50">
        <f t="shared" ca="1" si="2"/>
        <v>195.11784511784512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2597545</v>
      </c>
      <c r="M18" s="23">
        <f t="shared" ca="1" si="11"/>
        <v>2750806</v>
      </c>
      <c r="N18" s="23">
        <f t="shared" ca="1" si="11"/>
        <v>2336258.29</v>
      </c>
      <c r="O18" s="22">
        <f t="shared" ref="O18:O20" ca="1" si="12">IF(L18&gt;0,N18*100/L18,0)</f>
        <v>89.941013148954113</v>
      </c>
      <c r="P18" s="22">
        <f t="shared" ref="P18:P26" ca="1" si="13">IF(M18&gt;0,N18*100/M18,0)</f>
        <v>84.92995471145548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2597545</v>
      </c>
      <c r="M20" s="30">
        <f t="shared" ca="1" si="15"/>
        <v>2750806</v>
      </c>
      <c r="N20" s="30">
        <f t="shared" ca="1" si="15"/>
        <v>2336258.29</v>
      </c>
      <c r="O20" s="29">
        <f t="shared" ca="1" si="12"/>
        <v>89.941013148954113</v>
      </c>
      <c r="P20" s="29">
        <f t="shared" ca="1" si="13"/>
        <v>84.92995471145548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1647145</v>
      </c>
      <c r="M22" s="42">
        <f t="shared" ca="1" si="18"/>
        <v>1800406</v>
      </c>
      <c r="N22" s="41">
        <f t="shared" ca="1" si="18"/>
        <v>1385858.29</v>
      </c>
      <c r="O22" s="41">
        <f t="shared" ca="1" si="17"/>
        <v>84.136994010849079</v>
      </c>
      <c r="P22" s="41">
        <f t="shared" ca="1" si="13"/>
        <v>76.97476513630815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1368300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278845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1521708</v>
      </c>
      <c r="M28" s="23">
        <f t="shared" si="23"/>
        <v>0</v>
      </c>
      <c r="N28" s="23">
        <f t="shared" ca="1" si="23"/>
        <v>1493711.45</v>
      </c>
      <c r="O28" s="22">
        <f t="shared" ref="O28:O30" ca="1" si="24">IF(L28&gt;0,N28*100/L28,0)</f>
        <v>98.160189077010827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1521708</v>
      </c>
      <c r="M30" s="30">
        <f t="shared" si="27"/>
        <v>0</v>
      </c>
      <c r="N30" s="30">
        <f t="shared" ca="1" si="27"/>
        <v>1493711.45</v>
      </c>
      <c r="O30" s="29">
        <f t="shared" ca="1" si="24"/>
        <v>98.160189077010827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L352+L383+L404+L437+L457+L535+L553+L566+L582+L599-904000</f>
        <v>617708</v>
      </c>
      <c r="M32" s="41">
        <f>M352+M383+M404+M437+M457+M535+M553+M566+M582+M599</f>
        <v>0</v>
      </c>
      <c r="N32" s="41">
        <f ca="1">(N352+N383+N404+N437+N457+N535+N553+N566+N582+N599)-904000</f>
        <v>589711.44999999995</v>
      </c>
      <c r="O32" s="41">
        <f t="shared" ca="1" si="29"/>
        <v>95.467672427749022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617708</v>
      </c>
      <c r="M34" s="41">
        <f t="shared" si="31"/>
        <v>0</v>
      </c>
      <c r="N34" s="41">
        <f t="shared" ca="1" si="31"/>
        <v>589711.44999999995</v>
      </c>
      <c r="O34" s="41">
        <f t="shared" ca="1" si="29"/>
        <v>95.467672427749022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904000</v>
      </c>
      <c r="M36" s="52">
        <v>0</v>
      </c>
      <c r="N36" s="52">
        <v>904000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2597545</v>
      </c>
      <c r="M37" s="55">
        <f t="shared" ca="1" si="32"/>
        <v>2750806</v>
      </c>
      <c r="N37" s="55">
        <f t="shared" ca="1" si="32"/>
        <v>2336258.29</v>
      </c>
      <c r="O37" s="56">
        <f t="shared" ca="1" si="29"/>
        <v>89.941013148954113</v>
      </c>
      <c r="P37" s="56">
        <f t="shared" ca="1" si="25"/>
        <v>84.92995471145548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3">L42+L43</f>
        <v>1505900</v>
      </c>
      <c r="M41" s="79">
        <f t="shared" ca="1" si="33"/>
        <v>1505900</v>
      </c>
      <c r="N41" s="79">
        <f t="shared" ca="1" si="33"/>
        <v>1389359.69</v>
      </c>
      <c r="O41" s="78">
        <f t="shared" ref="O41:O43" ca="1" si="34">IF(L41&gt;0,N41*100/L41,0)</f>
        <v>92.261085729464114</v>
      </c>
      <c r="P41" s="78">
        <f t="shared" ref="P41:P43" ca="1" si="35">IF(M41&gt;0,N41*100/M41,0)</f>
        <v>92.261085729464114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1505900</v>
      </c>
      <c r="M43" s="79">
        <f t="shared" ca="1" si="37"/>
        <v>1505900</v>
      </c>
      <c r="N43" s="79">
        <f t="shared" ca="1" si="37"/>
        <v>1389359.69</v>
      </c>
      <c r="O43" s="78">
        <f t="shared" ca="1" si="34"/>
        <v>92.261085729464114</v>
      </c>
      <c r="P43" s="78">
        <f t="shared" ca="1" si="35"/>
        <v>92.261085729464114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IFERROR(__xludf.DUMMYFUNCTION("IMPORTRANGE(""https://docs.google.com/spreadsheets/d/1Yj_ptqi66GCucihVvJfMjLAmec39IyEx_6qawtMGysU/edit?usp=sharing"",""สบก!Q85"")"),555500)</f>
        <v>555500</v>
      </c>
      <c r="N45" s="91">
        <f ca="1">IFERROR(__xludf.DUMMYFUNCTION("IMPORTRANGE(""https://docs.google.com/spreadsheets/d/1Yj_ptqi66GCucihVvJfMjLAmec39IyEx_6qawtMGysU/edit?usp=sharing"",""สบก!R85"")"),438959.69)</f>
        <v>438959.69</v>
      </c>
      <c r="O45" s="92">
        <f ca="1">IF(L45&gt;0,N45*100/L45,0)</f>
        <v>79.020646264626464</v>
      </c>
      <c r="P45" s="92">
        <f ca="1">IF(M45&gt;0,N45*100/M45,0)</f>
        <v>79.020646264626464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8">L54+L55</f>
        <v>306000</v>
      </c>
      <c r="M53" s="125">
        <f t="shared" ca="1" si="38"/>
        <v>414171</v>
      </c>
      <c r="N53" s="125">
        <f t="shared" ca="1" si="38"/>
        <v>346993</v>
      </c>
      <c r="O53" s="124">
        <f t="shared" ref="O53:O55" ca="1" si="39">IF(L53&gt;0,N53*100/L53,0)</f>
        <v>113.39640522875817</v>
      </c>
      <c r="P53" s="124">
        <f t="shared" ref="P53:P55" ca="1" si="40">IF(M53&gt;0,N53*100/M53,0)</f>
        <v>83.780129463434179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306000</v>
      </c>
      <c r="M55" s="125">
        <f t="shared" ca="1" si="42"/>
        <v>414171</v>
      </c>
      <c r="N55" s="125">
        <f t="shared" ca="1" si="42"/>
        <v>346993</v>
      </c>
      <c r="O55" s="124">
        <f t="shared" ca="1" si="39"/>
        <v>113.39640522875817</v>
      </c>
      <c r="P55" s="124">
        <f t="shared" ca="1" si="40"/>
        <v>83.780129463434179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306000</v>
      </c>
      <c r="M57" s="91">
        <f ca="1">IFERROR(__xludf.DUMMYFUNCTION("IMPORTRANGE(""https://docs.google.com/spreadsheets/d/1Yj_ptqi66GCucihVvJfMjLAmec39IyEx_6qawtMGysU/edit?usp=sharing"",""สบก!Z85"")"),414171)</f>
        <v>414171</v>
      </c>
      <c r="N57" s="91">
        <f ca="1">IFERROR(__xludf.DUMMYFUNCTION("IMPORTRANGE(""https://docs.google.com/spreadsheets/d/1Yj_ptqi66GCucihVvJfMjLAmec39IyEx_6qawtMGysU/edit?usp=sharing"",""สบก!AA85"")"),346993)</f>
        <v>346993</v>
      </c>
      <c r="O57" s="92">
        <f ca="1">IF(L57&gt;0,N57*100/L57,0)</f>
        <v>113.39640522875817</v>
      </c>
      <c r="P57" s="92">
        <f ca="1">IF(M57&gt;0,N57*100/M57,0)</f>
        <v>83.780129463434179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IFERROR(__xludf.DUMMYFUNCTION("IMPORTRANGE(""https://docs.google.com/spreadsheets/d/1Yj_ptqi66GCucihVvJfMjLAmec39IyEx_6qawtMGysU/edit?usp=sharing"",""สบก!V85"")"),306000)</f>
        <v>306000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3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3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4">L67+L68</f>
        <v>0</v>
      </c>
      <c r="M66" s="156">
        <f t="shared" ca="1" si="44"/>
        <v>0</v>
      </c>
      <c r="N66" s="156">
        <f t="shared" ca="1" si="44"/>
        <v>0</v>
      </c>
      <c r="O66" s="155">
        <f t="shared" ref="O66:O68" ca="1" si="45">IF(L66&gt;0,N66*100/L66,0)</f>
        <v>0</v>
      </c>
      <c r="P66" s="155">
        <f t="shared" ref="P66:P68" ca="1" si="46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0</v>
      </c>
      <c r="M68" s="161">
        <f t="shared" ca="1" si="48"/>
        <v>0</v>
      </c>
      <c r="N68" s="161">
        <f t="shared" ca="1" si="48"/>
        <v>0</v>
      </c>
      <c r="O68" s="160">
        <f t="shared" ca="1" si="45"/>
        <v>0</v>
      </c>
      <c r="P68" s="160">
        <f t="shared" ca="1" si="46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IFERROR(__xludf.DUMMYFUNCTION("IMPORTRANGE(""https://docs.google.com/spreadsheets/d/1Yj_ptqi66GCucihVvJfMjLAmec39IyEx_6qawtMGysU/edit?usp=sharing"",""สบก!AI85"")"),0)</f>
        <v>0</v>
      </c>
      <c r="N70" s="174">
        <f ca="1">IFERROR(__xludf.DUMMYFUNCTION("IMPORTRANGE(""https://docs.google.com/spreadsheets/d/1Yj_ptqi66GCucihVvJfMjLAmec39IyEx_6qawtMGysU/edit?usp=sharing"",""สบก!AJ85"")"),0)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IFERROR(__xludf.DUMMYFUNCTION("IMPORTRANGE(""https://docs.google.com/spreadsheets/d/1Yj_ptqi66GCucihVvJfMjLAmec39IyEx_6qawtMGysU/edit?usp=sharing"",""สบก!AE85"")"),0)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IFERROR(__xludf.DUMMYFUNCTION("IMPORTRANGE(""https://docs.google.com/spreadsheets/d/1Yj_ptqi66GCucihVvJfMjLAmec39IyEx_6qawtMGysU/edit?usp=sharing"",""สบก!AF85"")"),0)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IFERROR(__xludf.DUMMYFUNCTION("IMPORTRANGE(""https://docs.google.com/spreadsheets/d/1IYY_tgx_IHuhSq3AJ5eI5OnqOPBNLWSHKh2a30DoXe8/edit?usp=sharing"",""นราธิวาส!J16"")"),0)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IFERROR(__xludf.DUMMYFUNCTION("IMPORTRANGE(""https://docs.google.com/spreadsheets/d/1IYY_tgx_IHuhSq3AJ5eI5OnqOPBNLWSHKh2a30DoXe8/edit?usp=sharing"",""นราธิวาส!J17"")"),0)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IFERROR(__xludf.DUMMYFUNCTION("IMPORTRANGE(""https://docs.google.com/spreadsheets/d/1IYY_tgx_IHuhSq3AJ5eI5OnqOPBNLWSHKh2a30DoXe8/edit?usp=sharing"",""นราธิวาส!J18"")"),0)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IFERROR(__xludf.DUMMYFUNCTION("IMPORTRANGE(""https://docs.google.com/spreadsheets/d/1IYY_tgx_IHuhSq3AJ5eI5OnqOPBNLWSHKh2a30DoXe8/edit?usp=sharing"",""นราธิวาส!J19"")"),0)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IFERROR(__xludf.DUMMYFUNCTION("IMPORTRANGE(""https://docs.google.com/spreadsheets/d/1IYY_tgx_IHuhSq3AJ5eI5OnqOPBNLWSHKh2a30DoXe8/edit?usp=sharing"",""นราธิวาส!I20"")"),0)</f>
        <v>0</v>
      </c>
      <c r="J80" s="207">
        <f ca="1">IFERROR(__xludf.DUMMYFUNCTION("IMPORTRANGE(""https://docs.google.com/spreadsheets/d/1IYY_tgx_IHuhSq3AJ5eI5OnqOPBNLWSHKh2a30DoXe8/edit?usp=sharing"",""นราธิวาส!J20"")"),0)</f>
        <v>0</v>
      </c>
      <c r="K80" s="208">
        <f t="shared" ref="K80:K88" ca="1" si="49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IFERROR(__xludf.DUMMYFUNCTION("IMPORTRANGE(""https://docs.google.com/spreadsheets/d/1IYY_tgx_IHuhSq3AJ5eI5OnqOPBNLWSHKh2a30DoXe8/edit?usp=sharing"",""นราธิวาส!I21"")"),0)</f>
        <v>0</v>
      </c>
      <c r="J81" s="207">
        <f ca="1">IFERROR(__xludf.DUMMYFUNCTION("IMPORTRANGE(""https://docs.google.com/spreadsheets/d/1IYY_tgx_IHuhSq3AJ5eI5OnqOPBNLWSHKh2a30DoXe8/edit?usp=sharing"",""นราธิวาส!J21"")"),0)</f>
        <v>0</v>
      </c>
      <c r="K81" s="208">
        <f t="shared" ca="1" si="49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IFERROR(__xludf.DUMMYFUNCTION("IMPORTRANGE(""https://docs.google.com/spreadsheets/d/1IYY_tgx_IHuhSq3AJ5eI5OnqOPBNLWSHKh2a30DoXe8/edit?usp=sharing"",""นราธิวาส!I22"")"),0)</f>
        <v>0</v>
      </c>
      <c r="J82" s="210">
        <f ca="1">IFERROR(__xludf.DUMMYFUNCTION("IMPORTRANGE(""https://docs.google.com/spreadsheets/d/1IYY_tgx_IHuhSq3AJ5eI5OnqOPBNLWSHKh2a30DoXe8/edit?usp=sharing"",""นราธิวาส!J22"")"),0)</f>
        <v>0</v>
      </c>
      <c r="K82" s="167">
        <f t="shared" ca="1" si="49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IFERROR(__xludf.DUMMYFUNCTION("IMPORTRANGE(""https://docs.google.com/spreadsheets/d/1IYY_tgx_IHuhSq3AJ5eI5OnqOPBNLWSHKh2a30DoXe8/edit?usp=sharing"",""นราธิวาส!I23"")"),0)</f>
        <v>0</v>
      </c>
      <c r="J83" s="210">
        <f ca="1">IFERROR(__xludf.DUMMYFUNCTION("IMPORTRANGE(""https://docs.google.com/spreadsheets/d/1IYY_tgx_IHuhSq3AJ5eI5OnqOPBNLWSHKh2a30DoXe8/edit?usp=sharing"",""นราธิวาส!J23"")"),0)</f>
        <v>0</v>
      </c>
      <c r="K83" s="167">
        <f t="shared" ca="1" si="49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IFERROR(__xludf.DUMMYFUNCTION("IMPORTRANGE(""https://docs.google.com/spreadsheets/d/1IYY_tgx_IHuhSq3AJ5eI5OnqOPBNLWSHKh2a30DoXe8/edit?usp=sharing"",""นราธิวาส!I24"")"),0)</f>
        <v>0</v>
      </c>
      <c r="J84" s="195">
        <f ca="1">IFERROR(__xludf.DUMMYFUNCTION("IMPORTRANGE(""https://docs.google.com/spreadsheets/d/1IYY_tgx_IHuhSq3AJ5eI5OnqOPBNLWSHKh2a30DoXe8/edit?usp=sharing"",""นราธิวาส!J24"")"),0)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IFERROR(__xludf.DUMMYFUNCTION("IMPORTRANGE(""https://docs.google.com/spreadsheets/d/1IYY_tgx_IHuhSq3AJ5eI5OnqOPBNLWSHKh2a30DoXe8/edit?usp=sharing"",""นราธิวาส!I25"")"),0)</f>
        <v>0</v>
      </c>
      <c r="J85" s="195">
        <f ca="1">IFERROR(__xludf.DUMMYFUNCTION("IMPORTRANGE(""https://docs.google.com/spreadsheets/d/1IYY_tgx_IHuhSq3AJ5eI5OnqOPBNLWSHKh2a30DoXe8/edit?usp=sharing"",""นราธิวาส!J25"")"),0)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IFERROR(__xludf.DUMMYFUNCTION("IMPORTRANGE(""https://docs.google.com/spreadsheets/d/1IYY_tgx_IHuhSq3AJ5eI5OnqOPBNLWSHKh2a30DoXe8/edit?usp=sharing"",""นราธิวาส!I26"")"),0)</f>
        <v>0</v>
      </c>
      <c r="J86" s="210">
        <f ca="1">IFERROR(__xludf.DUMMYFUNCTION("IMPORTRANGE(""https://docs.google.com/spreadsheets/d/1IYY_tgx_IHuhSq3AJ5eI5OnqOPBNLWSHKh2a30DoXe8/edit?usp=sharing"",""นราธิวาส!J26"")"),0)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IFERROR(__xludf.DUMMYFUNCTION("IMPORTRANGE(""https://docs.google.com/spreadsheets/d/1IYY_tgx_IHuhSq3AJ5eI5OnqOPBNLWSHKh2a30DoXe8/edit?usp=sharing"",""นราธิวาส!I27"")"),0)</f>
        <v>0</v>
      </c>
      <c r="J87" s="210">
        <f ca="1">IFERROR(__xludf.DUMMYFUNCTION("IMPORTRANGE(""https://docs.google.com/spreadsheets/d/1IYY_tgx_IHuhSq3AJ5eI5OnqOPBNLWSHKh2a30DoXe8/edit?usp=sharing"",""นราธิวาส!J27"")"),0)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IFERROR(__xludf.DUMMYFUNCTION("IMPORTRANGE(""https://docs.google.com/spreadsheets/d/1IYY_tgx_IHuhSq3AJ5eI5OnqOPBNLWSHKh2a30DoXe8/edit?usp=sharing"",""นราธิวาส!I28"")"),0)</f>
        <v>0</v>
      </c>
      <c r="J88" s="210">
        <f ca="1">IFERROR(__xludf.DUMMYFUNCTION("IMPORTRANGE(""https://docs.google.com/spreadsheets/d/1IYY_tgx_IHuhSq3AJ5eI5OnqOPBNLWSHKh2a30DoXe8/edit?usp=sharing"",""นราธิวาส!J28"")"),0)</f>
        <v>0</v>
      </c>
      <c r="K88" s="167">
        <f t="shared" ca="1" si="49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IFERROR(__xludf.DUMMYFUNCTION("IMPORTRANGE(""https://docs.google.com/spreadsheets/d/1IYY_tgx_IHuhSq3AJ5eI5OnqOPBNLWSHKh2a30DoXe8/edit?usp=sharing"",""นราธิวาส!J29"")"),0)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IFERROR(__xludf.DUMMYFUNCTION("IMPORTRANGE(""https://docs.google.com/spreadsheets/d/1IYY_tgx_IHuhSq3AJ5eI5OnqOPBNLWSHKh2a30DoXe8/edit?usp=sharing"",""นราธิวาส!J30"")"),0)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0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0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1">L95+L96</f>
        <v>0</v>
      </c>
      <c r="M94" s="156">
        <f t="shared" ca="1" si="51"/>
        <v>0</v>
      </c>
      <c r="N94" s="156">
        <f t="shared" ca="1" si="51"/>
        <v>0</v>
      </c>
      <c r="O94" s="155">
        <f t="shared" ref="O94:O96" ca="1" si="52">IF(L94&gt;0,N94*100/L94,0)</f>
        <v>0</v>
      </c>
      <c r="P94" s="155">
        <f t="shared" ref="P94:P96" ca="1" si="53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0</v>
      </c>
      <c r="M96" s="161">
        <f t="shared" ca="1" si="55"/>
        <v>0</v>
      </c>
      <c r="N96" s="161">
        <f t="shared" ca="1" si="55"/>
        <v>0</v>
      </c>
      <c r="O96" s="160">
        <f t="shared" ca="1" si="52"/>
        <v>0</v>
      </c>
      <c r="P96" s="160">
        <f t="shared" ca="1" si="53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IFERROR(__xludf.DUMMYFUNCTION("IMPORTRANGE(""https://docs.google.com/spreadsheets/d/1Yj_ptqi66GCucihVvJfMjLAmec39IyEx_6qawtMGysU/edit?usp=sharing"",""สบก!AR85"")"),0)</f>
        <v>0</v>
      </c>
      <c r="N98" s="174">
        <f ca="1">IFERROR(__xludf.DUMMYFUNCTION("IMPORTRANGE(""https://docs.google.com/spreadsheets/d/1Yj_ptqi66GCucihVvJfMjLAmec39IyEx_6qawtMGysU/edit?usp=sharing"",""สบก!AS85"")"),0)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IFERROR(__xludf.DUMMYFUNCTION("IMPORTRANGE(""https://docs.google.com/spreadsheets/d/1Yj_ptqi66GCucihVvJfMjLAmec39IyEx_6qawtMGysU/edit?usp=sharing"",""สบก!AN85"")"),0)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IFERROR(__xludf.DUMMYFUNCTION("IMPORTRANGE(""https://docs.google.com/spreadsheets/d/1Yj_ptqi66GCucihVvJfMjLAmec39IyEx_6qawtMGysU/edit?usp=sharing"",""สบก!AO85"")"),0)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IFERROR(__xludf.DUMMYFUNCTION("IMPORTRANGE(""https://docs.google.com/spreadsheets/d/1IYY_tgx_IHuhSq3AJ5eI5OnqOPBNLWSHKh2a30DoXe8/edit?usp=sharing"",""นราธิวาส!J39"")"),0)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IFERROR(__xludf.DUMMYFUNCTION("IMPORTRANGE(""https://docs.google.com/spreadsheets/d/1IYY_tgx_IHuhSq3AJ5eI5OnqOPBNLWSHKh2a30DoXe8/edit?usp=sharing"",""นราธิวาส!J40"")"),0)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IFERROR(__xludf.DUMMYFUNCTION("IMPORTRANGE(""https://docs.google.com/spreadsheets/d/1IYY_tgx_IHuhSq3AJ5eI5OnqOPBNLWSHKh2a30DoXe8/edit?usp=sharing"",""นราธิวาส!J41"")"),0)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IFERROR(__xludf.DUMMYFUNCTION("IMPORTRANGE(""https://docs.google.com/spreadsheets/d/1IYY_tgx_IHuhSq3AJ5eI5OnqOPBNLWSHKh2a30DoXe8/edit?usp=sharing"",""นราธิวาส!J42"")"),0)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IFERROR(__xludf.DUMMYFUNCTION("IMPORTRANGE(""https://docs.google.com/spreadsheets/d/1IYY_tgx_IHuhSq3AJ5eI5OnqOPBNLWSHKh2a30DoXe8/edit?usp=sharing"",""นราธิวาส!I43"")"),0)</f>
        <v>0</v>
      </c>
      <c r="J108" s="210">
        <f ca="1">IFERROR(__xludf.DUMMYFUNCTION("IMPORTRANGE(""https://docs.google.com/spreadsheets/d/1IYY_tgx_IHuhSq3AJ5eI5OnqOPBNLWSHKh2a30DoXe8/edit?usp=sharing"",""นราธิวาส!J43"")"),0)</f>
        <v>0</v>
      </c>
      <c r="K108" s="230">
        <f t="shared" ref="K108:K113" ca="1" si="56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IFERROR(__xludf.DUMMYFUNCTION("IMPORTRANGE(""https://docs.google.com/spreadsheets/d/1IYY_tgx_IHuhSq3AJ5eI5OnqOPBNLWSHKh2a30DoXe8/edit?usp=sharing"",""นราธิวาส!I44"")"),0)</f>
        <v>0</v>
      </c>
      <c r="J109" s="210">
        <f ca="1">IFERROR(__xludf.DUMMYFUNCTION("IMPORTRANGE(""https://docs.google.com/spreadsheets/d/1IYY_tgx_IHuhSq3AJ5eI5OnqOPBNLWSHKh2a30DoXe8/edit?usp=sharing"",""นราธิวาส!J44"")"),0)</f>
        <v>0</v>
      </c>
      <c r="K109" s="230">
        <f t="shared" ca="1" si="56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IFERROR(__xludf.DUMMYFUNCTION("IMPORTRANGE(""https://docs.google.com/spreadsheets/d/1IYY_tgx_IHuhSq3AJ5eI5OnqOPBNLWSHKh2a30DoXe8/edit?usp=sharing"",""นราธิวาส!I45"")"),0)</f>
        <v>0</v>
      </c>
      <c r="J110" s="210">
        <f ca="1">IFERROR(__xludf.DUMMYFUNCTION("IMPORTRANGE(""https://docs.google.com/spreadsheets/d/1IYY_tgx_IHuhSq3AJ5eI5OnqOPBNLWSHKh2a30DoXe8/edit?usp=sharing"",""นราธิวาส!J45"")"),0)</f>
        <v>0</v>
      </c>
      <c r="K110" s="230">
        <f t="shared" ca="1" si="56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IFERROR(__xludf.DUMMYFUNCTION("IMPORTRANGE(""https://docs.google.com/spreadsheets/d/1IYY_tgx_IHuhSq3AJ5eI5OnqOPBNLWSHKh2a30DoXe8/edit?usp=sharing"",""นราธิวาส!I46"")"),0)</f>
        <v>0</v>
      </c>
      <c r="J111" s="210">
        <f ca="1">IFERROR(__xludf.DUMMYFUNCTION("IMPORTRANGE(""https://docs.google.com/spreadsheets/d/1IYY_tgx_IHuhSq3AJ5eI5OnqOPBNLWSHKh2a30DoXe8/edit?usp=sharing"",""นราธิวาส!J46"")"),0)</f>
        <v>0</v>
      </c>
      <c r="K111" s="230">
        <f t="shared" ca="1" si="56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IFERROR(__xludf.DUMMYFUNCTION("IMPORTRANGE(""https://docs.google.com/spreadsheets/d/1IYY_tgx_IHuhSq3AJ5eI5OnqOPBNLWSHKh2a30DoXe8/edit?usp=sharing"",""นราธิวาส!I47"")"),0)</f>
        <v>0</v>
      </c>
      <c r="J112" s="210">
        <f ca="1">IFERROR(__xludf.DUMMYFUNCTION("IMPORTRANGE(""https://docs.google.com/spreadsheets/d/1IYY_tgx_IHuhSq3AJ5eI5OnqOPBNLWSHKh2a30DoXe8/edit?usp=sharing"",""นราธิวาส!J47"")"),0)</f>
        <v>0</v>
      </c>
      <c r="K112" s="230">
        <f t="shared" ca="1" si="56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IFERROR(__xludf.DUMMYFUNCTION("IMPORTRANGE(""https://docs.google.com/spreadsheets/d/1IYY_tgx_IHuhSq3AJ5eI5OnqOPBNLWSHKh2a30DoXe8/edit?usp=sharing"",""นราธิวาส!I48"")"),0)</f>
        <v>0</v>
      </c>
      <c r="J113" s="210">
        <f ca="1">IFERROR(__xludf.DUMMYFUNCTION("IMPORTRANGE(""https://docs.google.com/spreadsheets/d/1IYY_tgx_IHuhSq3AJ5eI5OnqOPBNLWSHKh2a30DoXe8/edit?usp=sharing"",""นราธิวาส!J48"")"),0)</f>
        <v>0</v>
      </c>
      <c r="K113" s="230">
        <f t="shared" ca="1" si="56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IFERROR(__xludf.DUMMYFUNCTION("IMPORTRANGE(""https://docs.google.com/spreadsheets/d/1IYY_tgx_IHuhSq3AJ5eI5OnqOPBNLWSHKh2a30DoXe8/edit?usp=sharing"",""นราธิวาส!J49"")"),0)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IFERROR(__xludf.DUMMYFUNCTION("IMPORTRANGE(""https://docs.google.com/spreadsheets/d/1IYY_tgx_IHuhSq3AJ5eI5OnqOPBNLWSHKh2a30DoXe8/edit?usp=sharing"",""นราธิวาส!J50"")"),0)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IFERROR(__xludf.DUMMYFUNCTION("IMPORTRANGE(""https://docs.google.com/spreadsheets/d/1Yj_ptqi66GCucihVvJfMjLAmec39IyEx_6qawtMGysU/edit?usp=sharing"",""สบก!BA85"")"),0)</f>
        <v>0</v>
      </c>
      <c r="N122" s="174">
        <f ca="1">IFERROR(__xludf.DUMMYFUNCTION("IMPORTRANGE(""https://docs.google.com/spreadsheets/d/1Yj_ptqi66GCucihVvJfMjLAmec39IyEx_6qawtMGysU/edit?usp=sharing"",""สบก!BB85"")"),0)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IFERROR(__xludf.DUMMYFUNCTION("IMPORTRANGE(""https://docs.google.com/spreadsheets/d/1Yj_ptqi66GCucihVvJfMjLAmec39IyEx_6qawtMGysU/edit?usp=sharing"",""สบก!AW85"")"),0)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IFERROR(__xludf.DUMMYFUNCTION("IMPORTRANGE(""https://docs.google.com/spreadsheets/d/1Yj_ptqi66GCucihVvJfMjLAmec39IyEx_6qawtMGysU/edit?usp=sharing"",""สบก!AX85"")"),0)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269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IFERROR(__xludf.DUMMYFUNCTION("IMPORTRANGE(""https://docs.google.com/spreadsheets/d/1IYY_tgx_IHuhSq3AJ5eI5OnqOPBNLWSHKh2a30DoXe8/edit?usp=sharing"",""นราธิวาส!J58"")"),0)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IFERROR(__xludf.DUMMYFUNCTION("IMPORTRANGE(""https://docs.google.com/spreadsheets/d/1IYY_tgx_IHuhSq3AJ5eI5OnqOPBNLWSHKh2a30DoXe8/edit?usp=sharing"",""นราธิวาส!J59"")"),0)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IFERROR(__xludf.DUMMYFUNCTION("IMPORTRANGE(""https://docs.google.com/spreadsheets/d/1IYY_tgx_IHuhSq3AJ5eI5OnqOPBNLWSHKh2a30DoXe8/edit?usp=sharing"",""นราธิวาส!J60"")"),0)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IFERROR(__xludf.DUMMYFUNCTION("IMPORTRANGE(""https://docs.google.com/spreadsheets/d/1IYY_tgx_IHuhSq3AJ5eI5OnqOPBNLWSHKh2a30DoXe8/edit?usp=sharing"",""นราธิวาส!J61"")"),0)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IFERROR(__xludf.DUMMYFUNCTION("IMPORTRANGE(""https://docs.google.com/spreadsheets/d/1IYY_tgx_IHuhSq3AJ5eI5OnqOPBNLWSHKh2a30DoXe8/edit?usp=sharing"",""นราธิวาส!I62"")"),0)</f>
        <v>0</v>
      </c>
      <c r="J132" s="210">
        <f ca="1">IFERROR(__xludf.DUMMYFUNCTION("IMPORTRANGE(""https://docs.google.com/spreadsheets/d/1IYY_tgx_IHuhSq3AJ5eI5OnqOPBNLWSHKh2a30DoXe8/edit?usp=sharing"",""นราธิวาส!J62"")"),0)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IFERROR(__xludf.DUMMYFUNCTION("IMPORTRANGE(""https://docs.google.com/spreadsheets/d/1IYY_tgx_IHuhSq3AJ5eI5OnqOPBNLWSHKh2a30DoXe8/edit?usp=sharing"",""นราธิวาส!I63"")"),0)</f>
        <v>0</v>
      </c>
      <c r="J133" s="210">
        <f ca="1">IFERROR(__xludf.DUMMYFUNCTION("IMPORTRANGE(""https://docs.google.com/spreadsheets/d/1IYY_tgx_IHuhSq3AJ5eI5OnqOPBNLWSHKh2a30DoXe8/edit?usp=sharing"",""นราธิวาส!J63"")"),0)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IFERROR(__xludf.DUMMYFUNCTION("IMPORTRANGE(""https://docs.google.com/spreadsheets/d/1IYY_tgx_IHuhSq3AJ5eI5OnqOPBNLWSHKh2a30DoXe8/edit?usp=sharing"",""นราธิวาส!J64"")"),0)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IFERROR(__xludf.DUMMYFUNCTION("IMPORTRANGE(""https://docs.google.com/spreadsheets/d/1IYY_tgx_IHuhSq3AJ5eI5OnqOPBNLWSHKh2a30DoXe8/edit?usp=sharing"",""นราธิวาส!J65"")"),0)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IFERROR(__xludf.DUMMYFUNCTION("IMPORTRANGE(""https://docs.google.com/spreadsheets/d/1IYY_tgx_IHuhSq3AJ5eI5OnqOPBNLWSHKh2a30DoXe8/edit?usp=sharing"",""นราธิวาส!I68"")"),0)</f>
        <v>0</v>
      </c>
      <c r="J138" s="273">
        <f ca="1">IFERROR(__xludf.DUMMYFUNCTION("IMPORTRANGE(""https://docs.google.com/spreadsheets/d/1IYY_tgx_IHuhSq3AJ5eI5OnqOPBNLWSHKh2a30DoXe8/edit?usp=sharing"",""นราธิวาส!J68"")"),0)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3">L141+L142</f>
        <v>43000</v>
      </c>
      <c r="M140" s="156">
        <f t="shared" ca="1" si="63"/>
        <v>51000</v>
      </c>
      <c r="N140" s="156">
        <f t="shared" ca="1" si="63"/>
        <v>41625</v>
      </c>
      <c r="O140" s="155">
        <f t="shared" ref="O140:O142" ca="1" si="64">IF(L140&gt;0,N140*100/L140,0)</f>
        <v>96.802325581395351</v>
      </c>
      <c r="P140" s="155">
        <f t="shared" ref="P140:P142" ca="1" si="65">IF(M140&gt;0,N140*100/M140,0)</f>
        <v>81.617647058823536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43000</v>
      </c>
      <c r="M142" s="161">
        <f t="shared" ca="1" si="67"/>
        <v>51000</v>
      </c>
      <c r="N142" s="161">
        <f t="shared" ca="1" si="67"/>
        <v>41625</v>
      </c>
      <c r="O142" s="160">
        <f t="shared" ca="1" si="64"/>
        <v>96.802325581395351</v>
      </c>
      <c r="P142" s="160">
        <f t="shared" ca="1" si="65"/>
        <v>81.617647058823536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IFERROR(__xludf.DUMMYFUNCTION("IMPORTRANGE(""https://docs.google.com/spreadsheets/d/1Yj_ptqi66GCucihVvJfMjLAmec39IyEx_6qawtMGysU/edit?usp=sharing"",""สบก!BJ85"")"),51000)</f>
        <v>51000</v>
      </c>
      <c r="N144" s="174">
        <f ca="1">IFERROR(__xludf.DUMMYFUNCTION("IMPORTRANGE(""https://docs.google.com/spreadsheets/d/1Yj_ptqi66GCucihVvJfMjLAmec39IyEx_6qawtMGysU/edit?usp=sharing"",""สบก!BK85"")"),41625)</f>
        <v>41625</v>
      </c>
      <c r="O144" s="175">
        <f ca="1">IF(L144&gt;0,N144*100/L144,0)</f>
        <v>96.802325581395351</v>
      </c>
      <c r="P144" s="175">
        <f ca="1">IF(M144&gt;0,N144*100/M144,0)</f>
        <v>81.617647058823536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IFERROR(__xludf.DUMMYFUNCTION("IMPORTRANGE(""https://docs.google.com/spreadsheets/d/1Yj_ptqi66GCucihVvJfMjLAmec39IyEx_6qawtMGysU/edit?usp=sharing"",""สบก!BF85"")"),0)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IFERROR(__xludf.DUMMYFUNCTION("IMPORTRANGE(""https://docs.google.com/spreadsheets/d/1Yj_ptqi66GCucihVvJfMjLAmec39IyEx_6qawtMGysU/edit?usp=sharing"",""สบก!BG85"")"),43000)</f>
        <v>43000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IFERROR(__xludf.DUMMYFUNCTION("IMPORTRANGE(""https://docs.google.com/spreadsheets/d/1IYY_tgx_IHuhSq3AJ5eI5OnqOPBNLWSHKh2a30DoXe8/edit?usp=sharing"",""นราธิวาส!I74"")"),4)</f>
        <v>4</v>
      </c>
      <c r="J149" s="281">
        <f ca="1">IFERROR(__xludf.DUMMYFUNCTION("IMPORTRANGE(""https://docs.google.com/spreadsheets/d/1IYY_tgx_IHuhSq3AJ5eI5OnqOPBNLWSHKh2a30DoXe8/edit?usp=sharing"",""นราธิวาส!J74"")"),3)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IFERROR(__xludf.DUMMYFUNCTION("IMPORTRANGE(""https://docs.google.com/spreadsheets/d/1IYY_tgx_IHuhSq3AJ5eI5OnqOPBNLWSHKh2a30DoXe8/edit?usp=sharing"",""นราธิวาส!J79"")"),0)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IFERROR(__xludf.DUMMYFUNCTION("IMPORTRANGE(""https://docs.google.com/spreadsheets/d/1IYY_tgx_IHuhSq3AJ5eI5OnqOPBNLWSHKh2a30DoXe8/edit?usp=sharing"",""นราธิวาส!J80"")"),1)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IFERROR(__xludf.DUMMYFUNCTION("IMPORTRANGE(""https://docs.google.com/spreadsheets/d/1IYY_tgx_IHuhSq3AJ5eI5OnqOPBNLWSHKh2a30DoXe8/edit?usp=sharing"",""นราธิวาส!J81"")"),1)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IFERROR(__xludf.DUMMYFUNCTION("IMPORTRANGE(""https://docs.google.com/spreadsheets/d/1IYY_tgx_IHuhSq3AJ5eI5OnqOPBNLWSHKh2a30DoXe8/edit?usp=sharing"",""นราธิวาส!J82"")"),1)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IFERROR(__xludf.DUMMYFUNCTION("IMPORTRANGE(""https://docs.google.com/spreadsheets/d/1IYY_tgx_IHuhSq3AJ5eI5OnqOPBNLWSHKh2a30DoXe8/edit?usp=sharing"",""นราธิวาส!I83"")"),4)</f>
        <v>4</v>
      </c>
      <c r="J158" s="195">
        <f ca="1">IFERROR(__xludf.DUMMYFUNCTION("IMPORTRANGE(""https://docs.google.com/spreadsheets/d/1IYY_tgx_IHuhSq3AJ5eI5OnqOPBNLWSHKh2a30DoXe8/edit?usp=sharing"",""นราธิวาส!J83"")"),3)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IFERROR(__xludf.DUMMYFUNCTION("IMPORTRANGE(""https://docs.google.com/spreadsheets/d/1IYY_tgx_IHuhSq3AJ5eI5OnqOPBNLWSHKh2a30DoXe8/edit?usp=sharing"",""นราธิวาส!J84"")"),124)</f>
        <v>124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IFERROR(__xludf.DUMMYFUNCTION("IMPORTRANGE(""https://docs.google.com/spreadsheets/d/1IYY_tgx_IHuhSq3AJ5eI5OnqOPBNLWSHKh2a30DoXe8/edit?usp=sharing"",""นราธิวาส!J85"")"),124)</f>
        <v>124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IFERROR(__xludf.DUMMYFUNCTION("IMPORTRANGE(""https://docs.google.com/spreadsheets/d/1IYY_tgx_IHuhSq3AJ5eI5OnqOPBNLWSHKh2a30DoXe8/edit?usp=sharing"",""นราธิวาส!J87"")"),0)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IFERROR(__xludf.DUMMYFUNCTION("IMPORTRANGE(""https://docs.google.com/spreadsheets/d/1IYY_tgx_IHuhSq3AJ5eI5OnqOPBNLWSHKh2a30DoXe8/edit?usp=sharing"",""นราธิวาส!J88"")"),0)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IFERROR(__xludf.DUMMYFUNCTION("IMPORTRANGE(""https://docs.google.com/spreadsheets/d/1IYY_tgx_IHuhSq3AJ5eI5OnqOPBNLWSHKh2a30DoXe8/edit?usp=sharing"",""นราธิวาส!J94"")"),0)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IFERROR(__xludf.DUMMYFUNCTION("IMPORTRANGE(""https://docs.google.com/spreadsheets/d/1IYY_tgx_IHuhSq3AJ5eI5OnqOPBNLWSHKh2a30DoXe8/edit?usp=sharing"",""นราธิวาส!J95"")"),1)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IFERROR(__xludf.DUMMYFUNCTION("IMPORTRANGE(""https://docs.google.com/spreadsheets/d/1IYY_tgx_IHuhSq3AJ5eI5OnqOPBNLWSHKh2a30DoXe8/edit?usp=sharing"",""นราธิวาส!J96"")"),1)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IFERROR(__xludf.DUMMYFUNCTION("IMPORTRANGE(""https://docs.google.com/spreadsheets/d/1IYY_tgx_IHuhSq3AJ5eI5OnqOPBNLWSHKh2a30DoXe8/edit?usp=sharing"",""นราธิวาส!J97"")"),1)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IFERROR(__xludf.DUMMYFUNCTION("IMPORTRANGE(""https://docs.google.com/spreadsheets/d/1IYY_tgx_IHuhSq3AJ5eI5OnqOPBNLWSHKh2a30DoXe8/edit?usp=sharing"",""นราธิวาส!I98"")"),2)</f>
        <v>2</v>
      </c>
      <c r="J173" s="195">
        <f ca="1">IFERROR(__xludf.DUMMYFUNCTION("IMPORTRANGE(""https://docs.google.com/spreadsheets/d/1IYY_tgx_IHuhSq3AJ5eI5OnqOPBNLWSHKh2a30DoXe8/edit?usp=sharing"",""นราธิวาส!J98"")"),2)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IFERROR(__xludf.DUMMYFUNCTION("IMPORTRANGE(""https://docs.google.com/spreadsheets/d/1IYY_tgx_IHuhSq3AJ5eI5OnqOPBNLWSHKh2a30DoXe8/edit?usp=sharing"",""นราธิวาส!J99"")"),0)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IFERROR(__xludf.DUMMYFUNCTION("IMPORTRANGE(""https://docs.google.com/spreadsheets/d/1IYY_tgx_IHuhSq3AJ5eI5OnqOPBNLWSHKh2a30DoXe8/edit?usp=sharing"",""นราธิวาส!J100"")"),0)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IFERROR(__xludf.DUMMYFUNCTION("IMPORTRANGE(""https://docs.google.com/spreadsheets/d/1IYY_tgx_IHuhSq3AJ5eI5OnqOPBNLWSHKh2a30DoXe8/edit?usp=sharing"",""นราธิวาส!J106"")"),0)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IFERROR(__xludf.DUMMYFUNCTION("IMPORTRANGE(""https://docs.google.com/spreadsheets/d/1IYY_tgx_IHuhSq3AJ5eI5OnqOPBNLWSHKh2a30DoXe8/edit?usp=sharing"",""นราธิวาส!J107"")"),0)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IFERROR(__xludf.DUMMYFUNCTION("IMPORTRANGE(""https://docs.google.com/spreadsheets/d/1IYY_tgx_IHuhSq3AJ5eI5OnqOPBNLWSHKh2a30DoXe8/edit?usp=sharing"",""นราธิวาส!J108"")"),0)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IFERROR(__xludf.DUMMYFUNCTION("IMPORTRANGE(""https://docs.google.com/spreadsheets/d/1IYY_tgx_IHuhSq3AJ5eI5OnqOPBNLWSHKh2a30DoXe8/edit?usp=sharing"",""นราธิวาส!J109"")"),0)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IFERROR(__xludf.DUMMYFUNCTION("IMPORTRANGE(""https://docs.google.com/spreadsheets/d/1IYY_tgx_IHuhSq3AJ5eI5OnqOPBNLWSHKh2a30DoXe8/edit?usp=sharing"",""นราธิวาส!I110"")"),0)</f>
        <v>0</v>
      </c>
      <c r="J185" s="210">
        <f ca="1">IFERROR(__xludf.DUMMYFUNCTION("IMPORTRANGE(""https://docs.google.com/spreadsheets/d/1IYY_tgx_IHuhSq3AJ5eI5OnqOPBNLWSHKh2a30DoXe8/edit?usp=sharing"",""นราธิวาส!J110"")"),0)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IFERROR(__xludf.DUMMYFUNCTION("IMPORTRANGE(""https://docs.google.com/spreadsheets/d/1IYY_tgx_IHuhSq3AJ5eI5OnqOPBNLWSHKh2a30DoXe8/edit?usp=sharing"",""นราธิวาส!I111"")"),0)</f>
        <v>0</v>
      </c>
      <c r="J186" s="210">
        <f ca="1">IFERROR(__xludf.DUMMYFUNCTION("IMPORTRANGE(""https://docs.google.com/spreadsheets/d/1IYY_tgx_IHuhSq3AJ5eI5OnqOPBNLWSHKh2a30DoXe8/edit?usp=sharing"",""นราธิวาส!J111"")"),0)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IFERROR(__xludf.DUMMYFUNCTION("IMPORTRANGE(""https://docs.google.com/spreadsheets/d/1IYY_tgx_IHuhSq3AJ5eI5OnqOPBNLWSHKh2a30DoXe8/edit?usp=sharing"",""นราธิวาส!J112"")"),0)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IFERROR(__xludf.DUMMYFUNCTION("IMPORTRANGE(""https://docs.google.com/spreadsheets/d/1IYY_tgx_IHuhSq3AJ5eI5OnqOPBNLWSHKh2a30DoXe8/edit?usp=sharing"",""นราธิวาส!J113"")"),0)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IFERROR(__xludf.DUMMYFUNCTION("IMPORTRANGE(""https://docs.google.com/spreadsheets/d/1IYY_tgx_IHuhSq3AJ5eI5OnqOPBNLWSHKh2a30DoXe8/edit?usp=sharing"",""นราธิวาส!J119"")"),0)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IFERROR(__xludf.DUMMYFUNCTION("IMPORTRANGE(""https://docs.google.com/spreadsheets/d/1IYY_tgx_IHuhSq3AJ5eI5OnqOPBNLWSHKh2a30DoXe8/edit?usp=sharing"",""นราธิวาส!J120"")"),1)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IFERROR(__xludf.DUMMYFUNCTION("IMPORTRANGE(""https://docs.google.com/spreadsheets/d/1IYY_tgx_IHuhSq3AJ5eI5OnqOPBNLWSHKh2a30DoXe8/edit?usp=sharing"",""นราธิวาส!J121"")"),1)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IFERROR(__xludf.DUMMYFUNCTION("IMPORTRANGE(""https://docs.google.com/spreadsheets/d/1IYY_tgx_IHuhSq3AJ5eI5OnqOPBNLWSHKh2a30DoXe8/edit?usp=sharing"",""นราธิวาส!J122"")"),1)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IFERROR(__xludf.DUMMYFUNCTION("IMPORTRANGE(""https://docs.google.com/spreadsheets/d/1IYY_tgx_IHuhSq3AJ5eI5OnqOPBNLWSHKh2a30DoXe8/edit?usp=sharing"",""นราธิวาส!I124"")"),10000)</f>
        <v>10000</v>
      </c>
      <c r="J199" s="195">
        <f ca="1">IFERROR(__xludf.DUMMYFUNCTION("IMPORTRANGE(""https://docs.google.com/spreadsheets/d/1IYY_tgx_IHuhSq3AJ5eI5OnqOPBNLWSHKh2a30DoXe8/edit?usp=sharing"",""นราธิวาส!J124"")"),0)</f>
        <v>0</v>
      </c>
      <c r="K199" s="167">
        <f t="shared" ref="K199:K201" ca="1" si="69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IFERROR(__xludf.DUMMYFUNCTION("IMPORTRANGE(""https://docs.google.com/spreadsheets/d/1IYY_tgx_IHuhSq3AJ5eI5OnqOPBNLWSHKh2a30DoXe8/edit?usp=sharing"",""นราธิวาส!I125"")"),10000)</f>
        <v>10000</v>
      </c>
      <c r="J200" s="195">
        <f ca="1">IFERROR(__xludf.DUMMYFUNCTION("IMPORTRANGE(""https://docs.google.com/spreadsheets/d/1IYY_tgx_IHuhSq3AJ5eI5OnqOPBNLWSHKh2a30DoXe8/edit?usp=sharing"",""นราธิวาส!J125"")"),0)</f>
        <v>0</v>
      </c>
      <c r="K200" s="167">
        <f t="shared" ca="1" si="69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IFERROR(__xludf.DUMMYFUNCTION("IMPORTRANGE(""https://docs.google.com/spreadsheets/d/1IYY_tgx_IHuhSq3AJ5eI5OnqOPBNLWSHKh2a30DoXe8/edit?usp=sharing"",""นราธิวาส!I126"")"),0)</f>
        <v>0</v>
      </c>
      <c r="J201" s="195">
        <f ca="1">IFERROR(__xludf.DUMMYFUNCTION("IMPORTRANGE(""https://docs.google.com/spreadsheets/d/1IYY_tgx_IHuhSq3AJ5eI5OnqOPBNLWSHKh2a30DoXe8/edit?usp=sharing"",""นราธิวาส!J126"")"),0)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IFERROR(__xludf.DUMMYFUNCTION("IMPORTRANGE(""https://docs.google.com/spreadsheets/d/1IYY_tgx_IHuhSq3AJ5eI5OnqOPBNLWSHKh2a30DoXe8/edit?usp=sharing"",""นราธิวาส!J127"")"),0)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IFERROR(__xludf.DUMMYFUNCTION("IMPORTRANGE(""https://docs.google.com/spreadsheets/d/1IYY_tgx_IHuhSq3AJ5eI5OnqOPBNLWSHKh2a30DoXe8/edit?usp=sharing"",""นราธิวาส!J128"")"),0)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IFERROR(__xludf.DUMMYFUNCTION("IMPORTRANGE(""https://docs.google.com/spreadsheets/d/1IYY_tgx_IHuhSq3AJ5eI5OnqOPBNLWSHKh2a30DoXe8/edit?usp=sharing"",""นราธิวาส!J134"")"),0)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IFERROR(__xludf.DUMMYFUNCTION("IMPORTRANGE(""https://docs.google.com/spreadsheets/d/1IYY_tgx_IHuhSq3AJ5eI5OnqOPBNLWSHKh2a30DoXe8/edit?usp=sharing"",""นราธิวาส!J135"")"),0)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IFERROR(__xludf.DUMMYFUNCTION("IMPORTRANGE(""https://docs.google.com/spreadsheets/d/1IYY_tgx_IHuhSq3AJ5eI5OnqOPBNLWSHKh2a30DoXe8/edit?usp=sharing"",""นราธิวาส!J136"")"),0)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IFERROR(__xludf.DUMMYFUNCTION("IMPORTRANGE(""https://docs.google.com/spreadsheets/d/1IYY_tgx_IHuhSq3AJ5eI5OnqOPBNLWSHKh2a30DoXe8/edit?usp=sharing"",""นราธิวาส!J137"")"),0)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IFERROR(__xludf.DUMMYFUNCTION("IMPORTRANGE(""https://docs.google.com/spreadsheets/d/1IYY_tgx_IHuhSq3AJ5eI5OnqOPBNLWSHKh2a30DoXe8/edit?usp=sharing"",""นราธิวาส!I138"")"),0)</f>
        <v>0</v>
      </c>
      <c r="J213" s="210">
        <f ca="1">IFERROR(__xludf.DUMMYFUNCTION("IMPORTRANGE(""https://docs.google.com/spreadsheets/d/1IYY_tgx_IHuhSq3AJ5eI5OnqOPBNLWSHKh2a30DoXe8/edit?usp=sharing"",""นราธิวาส!J138"")"),0)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IFERROR(__xludf.DUMMYFUNCTION("IMPORTRANGE(""https://docs.google.com/spreadsheets/d/1IYY_tgx_IHuhSq3AJ5eI5OnqOPBNLWSHKh2a30DoXe8/edit?usp=sharing"",""นราธิวาส!I140"")"),0)</f>
        <v>0</v>
      </c>
      <c r="J215" s="210">
        <f ca="1">IFERROR(__xludf.DUMMYFUNCTION("IMPORTRANGE(""https://docs.google.com/spreadsheets/d/1IYY_tgx_IHuhSq3AJ5eI5OnqOPBNLWSHKh2a30DoXe8/edit?usp=sharing"",""นราธิวาส!J140"")"),0)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IFERROR(__xludf.DUMMYFUNCTION("IMPORTRANGE(""https://docs.google.com/spreadsheets/d/1IYY_tgx_IHuhSq3AJ5eI5OnqOPBNLWSHKh2a30DoXe8/edit?usp=sharing"",""นราธิวาส!I141"")"),0)</f>
        <v>0</v>
      </c>
      <c r="J216" s="210">
        <f ca="1">IFERROR(__xludf.DUMMYFUNCTION("IMPORTRANGE(""https://docs.google.com/spreadsheets/d/1IYY_tgx_IHuhSq3AJ5eI5OnqOPBNLWSHKh2a30DoXe8/edit?usp=sharing"",""นราธิวาส!J141"")"),0)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IFERROR(__xludf.DUMMYFUNCTION("IMPORTRANGE(""https://docs.google.com/spreadsheets/d/1IYY_tgx_IHuhSq3AJ5eI5OnqOPBNLWSHKh2a30DoXe8/edit?usp=sharing"",""นราธิวาส!J142"")"),0)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IFERROR(__xludf.DUMMYFUNCTION("IMPORTRANGE(""https://docs.google.com/spreadsheets/d/1IYY_tgx_IHuhSq3AJ5eI5OnqOPBNLWSHKh2a30DoXe8/edit?usp=sharing"",""นราธิวาส!J143"")"),0)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IFERROR(__xludf.DUMMYFUNCTION("IMPORTRANGE(""https://docs.google.com/spreadsheets/d/1IYY_tgx_IHuhSq3AJ5eI5OnqOPBNLWSHKh2a30DoXe8/edit?usp=sharing"",""นราธิวาส!I144"")"),15)</f>
        <v>15</v>
      </c>
      <c r="J219" s="273">
        <f ca="1">IFERROR(__xludf.DUMMYFUNCTION("IMPORTRANGE(""https://docs.google.com/spreadsheets/d/1IYY_tgx_IHuhSq3AJ5eI5OnqOPBNLWSHKh2a30DoXe8/edit?usp=sharing"",""นราธิวาส!J144"")"),15)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1">L221+L222</f>
        <v>21125</v>
      </c>
      <c r="M220" s="156">
        <f t="shared" ca="1" si="71"/>
        <v>21125</v>
      </c>
      <c r="N220" s="156">
        <f t="shared" ca="1" si="71"/>
        <v>21125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21125</v>
      </c>
      <c r="M222" s="161">
        <f t="shared" ca="1" si="75"/>
        <v>21125</v>
      </c>
      <c r="N222" s="161">
        <f t="shared" ca="1" si="75"/>
        <v>21125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IFERROR(__xludf.DUMMYFUNCTION("IMPORTRANGE(""https://docs.google.com/spreadsheets/d/1Yj_ptqi66GCucihVvJfMjLAmec39IyEx_6qawtMGysU/edit?usp=sharing"",""สบก!BS85"")"),21125)</f>
        <v>21125</v>
      </c>
      <c r="N224" s="174">
        <f ca="1">IFERROR(__xludf.DUMMYFUNCTION("IMPORTRANGE(""https://docs.google.com/spreadsheets/d/1Yj_ptqi66GCucihVvJfMjLAmec39IyEx_6qawtMGysU/edit?usp=sharing"",""สบก!BT85"")"),21125)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IFERROR(__xludf.DUMMYFUNCTION("IMPORTRANGE(""https://docs.google.com/spreadsheets/d/1Yj_ptqi66GCucihVvJfMjLAmec39IyEx_6qawtMGysU/edit?usp=sharing"",""สบก!BO85"")"),0)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IFERROR(__xludf.DUMMYFUNCTION("IMPORTRANGE(""https://docs.google.com/spreadsheets/d/1Yj_ptqi66GCucihVvJfMjLAmec39IyEx_6qawtMGysU/edit?usp=sharing"",""สบก!BP85"")"),21125)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IFERROR(__xludf.DUMMYFUNCTION("IMPORTRANGE(""https://docs.google.com/spreadsheets/d/1IYY_tgx_IHuhSq3AJ5eI5OnqOPBNLWSHKh2a30DoXe8/edit?usp=sharing"",""นราธิวาส!I149"")"),15)</f>
        <v>15</v>
      </c>
      <c r="J229" s="273">
        <f ca="1">IFERROR(__xludf.DUMMYFUNCTION("IMPORTRANGE(""https://docs.google.com/spreadsheets/d/1IYY_tgx_IHuhSq3AJ5eI5OnqOPBNLWSHKh2a30DoXe8/edit?usp=sharing"",""นราธิวาส!J149"")"),15)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IFERROR(__xludf.DUMMYFUNCTION("IMPORTRANGE(""https://docs.google.com/spreadsheets/d/1IYY_tgx_IHuhSq3AJ5eI5OnqOPBNLWSHKh2a30DoXe8/edit?usp=sharing"",""นราธิวาส!J151"")"),0)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IFERROR(__xludf.DUMMYFUNCTION("IMPORTRANGE(""https://docs.google.com/spreadsheets/d/1IYY_tgx_IHuhSq3AJ5eI5OnqOPBNLWSHKh2a30DoXe8/edit?usp=sharing"",""นราธิวาส!J152"")"),1)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IFERROR(__xludf.DUMMYFUNCTION("IMPORTRANGE(""https://docs.google.com/spreadsheets/d/1IYY_tgx_IHuhSq3AJ5eI5OnqOPBNLWSHKh2a30DoXe8/edit?usp=sharing"",""นราธิวาส!J153"")"),1)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IFERROR(__xludf.DUMMYFUNCTION("IMPORTRANGE(""https://docs.google.com/spreadsheets/d/1IYY_tgx_IHuhSq3AJ5eI5OnqOPBNLWSHKh2a30DoXe8/edit?usp=sharing"",""นราธิวาส!J154"")"),1)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IFERROR(__xludf.DUMMYFUNCTION("IMPORTRANGE(""https://docs.google.com/spreadsheets/d/1IYY_tgx_IHuhSq3AJ5eI5OnqOPBNLWSHKh2a30DoXe8/edit?usp=sharing"",""นราธิวาส!I155"")"),15)</f>
        <v>15</v>
      </c>
      <c r="J235" s="195">
        <f ca="1">IFERROR(__xludf.DUMMYFUNCTION("IMPORTRANGE(""https://docs.google.com/spreadsheets/d/1IYY_tgx_IHuhSq3AJ5eI5OnqOPBNLWSHKh2a30DoXe8/edit?usp=sharing"",""นราธิวาส!J155"")"),15)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IFERROR(__xludf.DUMMYFUNCTION("IMPORTRANGE(""https://docs.google.com/spreadsheets/d/1IYY_tgx_IHuhSq3AJ5eI5OnqOPBNLWSHKh2a30DoXe8/edit?usp=sharing"",""นราธิวาส!J156"")"),0)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IFERROR(__xludf.DUMMYFUNCTION("IMPORTRANGE(""https://docs.google.com/spreadsheets/d/1IYY_tgx_IHuhSq3AJ5eI5OnqOPBNLWSHKh2a30DoXe8/edit?usp=sharing"",""นราธิวาส!J157"")"),0)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IFERROR(__xludf.DUMMYFUNCTION("IMPORTRANGE(""https://docs.google.com/spreadsheets/d/1IYY_tgx_IHuhSq3AJ5eI5OnqOPBNLWSHKh2a30DoXe8/edit?usp=sharing"",""นราธิวาส!I158"")"),0)</f>
        <v>0</v>
      </c>
      <c r="J238" s="273">
        <f ca="1">IFERROR(__xludf.DUMMYFUNCTION("IMPORTRANGE(""https://docs.google.com/spreadsheets/d/1IYY_tgx_IHuhSq3AJ5eI5OnqOPBNLWSHKh2a30DoXe8/edit?usp=sharing"",""นราธิวาส!J158"")"),0)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IFERROR(__xludf.DUMMYFUNCTION("IMPORTRANGE(""https://docs.google.com/spreadsheets/d/1IYY_tgx_IHuhSq3AJ5eI5OnqOPBNLWSHKh2a30DoXe8/edit?usp=sharing"",""นราธิวาส!J159"")"),"")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IFERROR(__xludf.DUMMYFUNCTION("IMPORTRANGE(""https://docs.google.com/spreadsheets/d/1IYY_tgx_IHuhSq3AJ5eI5OnqOPBNLWSHKh2a30DoXe8/edit?usp=sharing"",""นราธิวาส!J161"")"),0)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IFERROR(__xludf.DUMMYFUNCTION("IMPORTRANGE(""https://docs.google.com/spreadsheets/d/1IYY_tgx_IHuhSq3AJ5eI5OnqOPBNLWSHKh2a30DoXe8/edit?usp=sharing"",""นราธิวาส!J162"")"),0)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IFERROR(__xludf.DUMMYFUNCTION("IMPORTRANGE(""https://docs.google.com/spreadsheets/d/1IYY_tgx_IHuhSq3AJ5eI5OnqOPBNLWSHKh2a30DoXe8/edit?usp=sharing"",""นราธิวาส!J163"")"),0)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IFERROR(__xludf.DUMMYFUNCTION("IMPORTRANGE(""https://docs.google.com/spreadsheets/d/1IYY_tgx_IHuhSq3AJ5eI5OnqOPBNLWSHKh2a30DoXe8/edit?usp=sharing"",""นราธิวาส!I164"")"),0)</f>
        <v>0</v>
      </c>
      <c r="J244" s="194">
        <f ca="1">IFERROR(__xludf.DUMMYFUNCTION("IMPORTRANGE(""https://docs.google.com/spreadsheets/d/1IYY_tgx_IHuhSq3AJ5eI5OnqOPBNLWSHKh2a30DoXe8/edit?usp=sharing"",""นราธิวาส!J164"")"),0)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IFERROR(__xludf.DUMMYFUNCTION("IMPORTRANGE(""https://docs.google.com/spreadsheets/d/1IYY_tgx_IHuhSq3AJ5eI5OnqOPBNLWSHKh2a30DoXe8/edit?usp=sharing"",""นราธิวาส!J165"")"),0)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6">L251+L252</f>
        <v>0</v>
      </c>
      <c r="M250" s="156">
        <f t="shared" ca="1" si="76"/>
        <v>0</v>
      </c>
      <c r="N250" s="156">
        <f t="shared" ca="1" si="76"/>
        <v>0</v>
      </c>
      <c r="O250" s="155">
        <f t="shared" ref="O250:O252" ca="1" si="77">IF(L250&gt;0,N250*100/L250,0)</f>
        <v>0</v>
      </c>
      <c r="P250" s="155">
        <f t="shared" ref="P250:P252" ca="1" si="78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0</v>
      </c>
      <c r="M252" s="161">
        <f t="shared" ca="1" si="80"/>
        <v>0</v>
      </c>
      <c r="N252" s="161">
        <f t="shared" ca="1" si="80"/>
        <v>0</v>
      </c>
      <c r="O252" s="160">
        <f t="shared" ca="1" si="77"/>
        <v>0</v>
      </c>
      <c r="P252" s="160">
        <f t="shared" ca="1" si="78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IFERROR(__xludf.DUMMYFUNCTION("IMPORTRANGE(""https://docs.google.com/spreadsheets/d/1Yj_ptqi66GCucihVvJfMjLAmec39IyEx_6qawtMGysU/edit?usp=sharing"",""สบก!CB85"")"),0)</f>
        <v>0</v>
      </c>
      <c r="N254" s="174">
        <f ca="1">IFERROR(__xludf.DUMMYFUNCTION("IMPORTRANGE(""https://docs.google.com/spreadsheets/d/1Yj_ptqi66GCucihVvJfMjLAmec39IyEx_6qawtMGysU/edit?usp=sharing"",""สบก!CC85"")"),0)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IFERROR(__xludf.DUMMYFUNCTION("IMPORTRANGE(""https://docs.google.com/spreadsheets/d/1Yj_ptqi66GCucihVvJfMjLAmec39IyEx_6qawtMGysU/edit?usp=sharing"",""สบก!BX85"")"),0)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IFERROR(__xludf.DUMMYFUNCTION("IMPORTRANGE(""https://docs.google.com/spreadsheets/d/1Yj_ptqi66GCucihVvJfMjLAmec39IyEx_6qawtMGysU/edit?usp=sharing"",""สบก!BY85"")"),0)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IFERROR(__xludf.DUMMYFUNCTION("IMPORTRANGE(""https://docs.google.com/spreadsheets/d/1IYY_tgx_IHuhSq3AJ5eI5OnqOPBNLWSHKh2a30DoXe8/edit?usp=sharing"",""นราธิวาส!J175"")"),0)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IFERROR(__xludf.DUMMYFUNCTION("IMPORTRANGE(""https://docs.google.com/spreadsheets/d/1IYY_tgx_IHuhSq3AJ5eI5OnqOPBNLWSHKh2a30DoXe8/edit?usp=sharing"",""นราธิวาส!J176"")"),0)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IFERROR(__xludf.DUMMYFUNCTION("IMPORTRANGE(""https://docs.google.com/spreadsheets/d/1IYY_tgx_IHuhSq3AJ5eI5OnqOPBNLWSHKh2a30DoXe8/edit?usp=sharing"",""นราธิวาส!J177"")"),0)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IFERROR(__xludf.DUMMYFUNCTION("IMPORTRANGE(""https://docs.google.com/spreadsheets/d/1IYY_tgx_IHuhSq3AJ5eI5OnqOPBNLWSHKh2a30DoXe8/edit?usp=sharing"",""นราธิวาส!J178"")"),0)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IFERROR(__xludf.DUMMYFUNCTION("IMPORTRANGE(""https://docs.google.com/spreadsheets/d/1IYY_tgx_IHuhSq3AJ5eI5OnqOPBNLWSHKh2a30DoXe8/edit?usp=sharing"",""นราธิวาส!I179"")"),0)</f>
        <v>0</v>
      </c>
      <c r="J264" s="195">
        <f ca="1">IFERROR(__xludf.DUMMYFUNCTION("IMPORTRANGE(""https://docs.google.com/spreadsheets/d/1IYY_tgx_IHuhSq3AJ5eI5OnqOPBNLWSHKh2a30DoXe8/edit?usp=sharing"",""นราธิวาส!J179"")"),0)</f>
        <v>0</v>
      </c>
      <c r="K264" s="167">
        <f t="shared" ref="K264:K267" ca="1" si="81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IFERROR(__xludf.DUMMYFUNCTION("IMPORTRANGE(""https://docs.google.com/spreadsheets/d/1IYY_tgx_IHuhSq3AJ5eI5OnqOPBNLWSHKh2a30DoXe8/edit?usp=sharing"",""นราธิวาส!I180"")"),0)</f>
        <v>0</v>
      </c>
      <c r="J265" s="195">
        <f ca="1">IFERROR(__xludf.DUMMYFUNCTION("IMPORTRANGE(""https://docs.google.com/spreadsheets/d/1IYY_tgx_IHuhSq3AJ5eI5OnqOPBNLWSHKh2a30DoXe8/edit?usp=sharing"",""นราธิวาส!J180"")"),0)</f>
        <v>0</v>
      </c>
      <c r="K265" s="167">
        <f t="shared" ca="1" si="81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IFERROR(__xludf.DUMMYFUNCTION("IMPORTRANGE(""https://docs.google.com/spreadsheets/d/1IYY_tgx_IHuhSq3AJ5eI5OnqOPBNLWSHKh2a30DoXe8/edit?usp=sharing"",""นราธิวาส!I181"")"),0)</f>
        <v>0</v>
      </c>
      <c r="J266" s="195">
        <f ca="1">IFERROR(__xludf.DUMMYFUNCTION("IMPORTRANGE(""https://docs.google.com/spreadsheets/d/1IYY_tgx_IHuhSq3AJ5eI5OnqOPBNLWSHKh2a30DoXe8/edit?usp=sharing"",""นราธิวาส!J181"")"),0)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IFERROR(__xludf.DUMMYFUNCTION("IMPORTRANGE(""https://docs.google.com/spreadsheets/d/1IYY_tgx_IHuhSq3AJ5eI5OnqOPBNLWSHKh2a30DoXe8/edit?usp=sharing"",""นราธิวาส!I182"")"),0)</f>
        <v>0</v>
      </c>
      <c r="J267" s="195">
        <f ca="1">IFERROR(__xludf.DUMMYFUNCTION("IMPORTRANGE(""https://docs.google.com/spreadsheets/d/1IYY_tgx_IHuhSq3AJ5eI5OnqOPBNLWSHKh2a30DoXe8/edit?usp=sharing"",""นราธิวาส!J182"")"),0)</f>
        <v>0</v>
      </c>
      <c r="K267" s="167">
        <f t="shared" ca="1" si="81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IFERROR(__xludf.DUMMYFUNCTION("IMPORTRANGE(""https://docs.google.com/spreadsheets/d/1IYY_tgx_IHuhSq3AJ5eI5OnqOPBNLWSHKh2a30DoXe8/edit?usp=sharing"",""นราธิวาส!J183"")"),0)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IFERROR(__xludf.DUMMYFUNCTION("IMPORTRANGE(""https://docs.google.com/spreadsheets/d/1Yj_ptqi66GCucihVvJfMjLAmec39IyEx_6qawtMGysU/edit?usp=sharing"",""สบก!CK85"")"),0)</f>
        <v>0</v>
      </c>
      <c r="N275" s="174">
        <f ca="1">IFERROR(__xludf.DUMMYFUNCTION("IMPORTRANGE(""https://docs.google.com/spreadsheets/d/1Yj_ptqi66GCucihVvJfMjLAmec39IyEx_6qawtMGysU/edit?usp=sharing"",""สบก!CL85"")"),0)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IFERROR(__xludf.DUMMYFUNCTION("IMPORTRANGE(""https://docs.google.com/spreadsheets/d/1Yj_ptqi66GCucihVvJfMjLAmec39IyEx_6qawtMGysU/edit?usp=sharing"",""สบก!CG85"")"),0)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IFERROR(__xludf.DUMMYFUNCTION("IMPORTRANGE(""https://docs.google.com/spreadsheets/d/1Yj_ptqi66GCucihVvJfMjLAmec39IyEx_6qawtMGysU/edit?usp=sharing"",""สบก!CH85"")"),0)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IFERROR(__xludf.DUMMYFUNCTION("IMPORTRANGE(""https://docs.google.com/spreadsheets/d/1IYY_tgx_IHuhSq3AJ5eI5OnqOPBNLWSHKh2a30DoXe8/edit?usp=sharing"",""นราธิวาส!J191"")"),0)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IFERROR(__xludf.DUMMYFUNCTION("IMPORTRANGE(""https://docs.google.com/spreadsheets/d/1IYY_tgx_IHuhSq3AJ5eI5OnqOPBNLWSHKh2a30DoXe8/edit?usp=sharing"",""นราธิวาส!J192"")"),0)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IFERROR(__xludf.DUMMYFUNCTION("IMPORTRANGE(""https://docs.google.com/spreadsheets/d/1IYY_tgx_IHuhSq3AJ5eI5OnqOPBNLWSHKh2a30DoXe8/edit?usp=sharing"",""นราธิวาส!J193"")"),0)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IFERROR(__xludf.DUMMYFUNCTION("IMPORTRANGE(""https://docs.google.com/spreadsheets/d/1IYY_tgx_IHuhSq3AJ5eI5OnqOPBNLWSHKh2a30DoXe8/edit?usp=sharing"",""นราธิวาส!J194"")"),0)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IFERROR(__xludf.DUMMYFUNCTION("IMPORTRANGE(""https://docs.google.com/spreadsheets/d/1IYY_tgx_IHuhSq3AJ5eI5OnqOPBNLWSHKh2a30DoXe8/edit?usp=sharing"",""นราธิวาส!I195"")"),0)</f>
        <v>0</v>
      </c>
      <c r="J285" s="195">
        <f ca="1">IFERROR(__xludf.DUMMYFUNCTION("IMPORTRANGE(""https://docs.google.com/spreadsheets/d/1IYY_tgx_IHuhSq3AJ5eI5OnqOPBNLWSHKh2a30DoXe8/edit?usp=sharing"",""นราธิวาส!J195"")"),0)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IFERROR(__xludf.DUMMYFUNCTION("IMPORTRANGE(""https://docs.google.com/spreadsheets/d/1IYY_tgx_IHuhSq3AJ5eI5OnqOPBNLWSHKh2a30DoXe8/edit?usp=sharing"",""นราธิวาส!J196"")"),0)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IFERROR(__xludf.DUMMYFUNCTION("IMPORTRANGE(""https://docs.google.com/spreadsheets/d/1IYY_tgx_IHuhSq3AJ5eI5OnqOPBNLWSHKh2a30DoXe8/edit?usp=sharing"",""นราธิวาส!J197"")"),0)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IFERROR(__xludf.DUMMYFUNCTION("IMPORTRANGE(""https://docs.google.com/spreadsheets/d/1Yj_ptqi66GCucihVvJfMjLAmec39IyEx_6qawtMGysU/edit?usp=sharing"",""สบก!CT85"")"),0)</f>
        <v>0</v>
      </c>
      <c r="N294" s="174">
        <f ca="1">IFERROR(__xludf.DUMMYFUNCTION("IMPORTRANGE(""https://docs.google.com/spreadsheets/d/1Yj_ptqi66GCucihVvJfMjLAmec39IyEx_6qawtMGysU/edit?usp=sharing"",""สบก!CU85"")"),0)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IFERROR(__xludf.DUMMYFUNCTION("IMPORTRANGE(""https://docs.google.com/spreadsheets/d/1Yj_ptqi66GCucihVvJfMjLAmec39IyEx_6qawtMGysU/edit?usp=sharing"",""สบก!CP85"")"),0)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IFERROR(__xludf.DUMMYFUNCTION("IMPORTRANGE(""https://docs.google.com/spreadsheets/d/1Yj_ptqi66GCucihVvJfMjLAmec39IyEx_6qawtMGysU/edit?usp=sharing"",""สบก!CQ85"")"),0)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IFERROR(__xludf.DUMMYFUNCTION("IMPORTRANGE(""https://docs.google.com/spreadsheets/d/1IYY_tgx_IHuhSq3AJ5eI5OnqOPBNLWSHKh2a30DoXe8/edit?usp=sharing"",""นราธิวาส!J205"")"),0)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IFERROR(__xludf.DUMMYFUNCTION("IMPORTRANGE(""https://docs.google.com/spreadsheets/d/1IYY_tgx_IHuhSq3AJ5eI5OnqOPBNLWSHKh2a30DoXe8/edit?usp=sharing"",""นราธิวาส!J206"")"),0)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IFERROR(__xludf.DUMMYFUNCTION("IMPORTRANGE(""https://docs.google.com/spreadsheets/d/1IYY_tgx_IHuhSq3AJ5eI5OnqOPBNLWSHKh2a30DoXe8/edit?usp=sharing"",""นราธิวาส!J207"")"),0)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IFERROR(__xludf.DUMMYFUNCTION("IMPORTRANGE(""https://docs.google.com/spreadsheets/d/1IYY_tgx_IHuhSq3AJ5eI5OnqOPBNLWSHKh2a30DoXe8/edit?usp=sharing"",""นราธิวาส!J208"")"),0)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IFERROR(__xludf.DUMMYFUNCTION("IMPORTRANGE(""https://docs.google.com/spreadsheets/d/1IYY_tgx_IHuhSq3AJ5eI5OnqOPBNLWSHKh2a30DoXe8/edit?usp=sharing"",""นราธิวาส!I209"")"),0)</f>
        <v>0</v>
      </c>
      <c r="J304" s="210">
        <f ca="1">IFERROR(__xludf.DUMMYFUNCTION("IMPORTRANGE(""https://docs.google.com/spreadsheets/d/1IYY_tgx_IHuhSq3AJ5eI5OnqOPBNLWSHKh2a30DoXe8/edit?usp=sharing"",""นราธิวาส!J209"")"),0)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IFERROR(__xludf.DUMMYFUNCTION("IMPORTRANGE(""https://docs.google.com/spreadsheets/d/1IYY_tgx_IHuhSq3AJ5eI5OnqOPBNLWSHKh2a30DoXe8/edit?usp=sharing"",""นราธิวาส!I211"")"),0)</f>
        <v>0</v>
      </c>
      <c r="J306" s="210">
        <f ca="1">IFERROR(__xludf.DUMMYFUNCTION("IMPORTRANGE(""https://docs.google.com/spreadsheets/d/1IYY_tgx_IHuhSq3AJ5eI5OnqOPBNLWSHKh2a30DoXe8/edit?usp=sharing"",""นราธิวาส!J211"")"),0)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IFERROR(__xludf.DUMMYFUNCTION("IMPORTRANGE(""https://docs.google.com/spreadsheets/d/1IYY_tgx_IHuhSq3AJ5eI5OnqOPBNLWSHKh2a30DoXe8/edit?usp=sharing"",""นราธิวาส!J212"")"),0)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IFERROR(__xludf.DUMMYFUNCTION("IMPORTRANGE(""https://docs.google.com/spreadsheets/d/1Yj_ptqi66GCucihVvJfMjLAmec39IyEx_6qawtMGysU/edit?usp=sharing"",""สบก!DC85"")"),0)</f>
        <v>0</v>
      </c>
      <c r="N314" s="174">
        <f ca="1">IFERROR(__xludf.DUMMYFUNCTION("IMPORTRANGE(""https://docs.google.com/spreadsheets/d/1Yj_ptqi66GCucihVvJfMjLAmec39IyEx_6qawtMGysU/edit?usp=sharing"",""สบก!DD85"")"),0)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IFERROR(__xludf.DUMMYFUNCTION("IMPORTRANGE(""https://docs.google.com/spreadsheets/d/1Yj_ptqi66GCucihVvJfMjLAmec39IyEx_6qawtMGysU/edit?usp=sharing"",""สบก!CY85"")"),0)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IFERROR(__xludf.DUMMYFUNCTION("IMPORTRANGE(""https://docs.google.com/spreadsheets/d/1Yj_ptqi66GCucihVvJfMjLAmec39IyEx_6qawtMGysU/edit?usp=sharing"",""สบก!CZ85"")"),0)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IFERROR(__xludf.DUMMYFUNCTION("IMPORTRANGE(""https://docs.google.com/spreadsheets/d/1IYY_tgx_IHuhSq3AJ5eI5OnqOPBNLWSHKh2a30DoXe8/edit?usp=sharing"",""นราธิวาส!J220"")"),0)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IFERROR(__xludf.DUMMYFUNCTION("IMPORTRANGE(""https://docs.google.com/spreadsheets/d/1IYY_tgx_IHuhSq3AJ5eI5OnqOPBNLWSHKh2a30DoXe8/edit?usp=sharing"",""นราธิวาส!J221"")"),0)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IFERROR(__xludf.DUMMYFUNCTION("IMPORTRANGE(""https://docs.google.com/spreadsheets/d/1IYY_tgx_IHuhSq3AJ5eI5OnqOPBNLWSHKh2a30DoXe8/edit?usp=sharing"",""นราธิวาส!J222"")"),0)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IFERROR(__xludf.DUMMYFUNCTION("IMPORTRANGE(""https://docs.google.com/spreadsheets/d/1IYY_tgx_IHuhSq3AJ5eI5OnqOPBNLWSHKh2a30DoXe8/edit?usp=sharing"",""นราธิวาส!J223"")"),0)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IFERROR(__xludf.DUMMYFUNCTION("IMPORTRANGE(""https://docs.google.com/spreadsheets/d/1IYY_tgx_IHuhSq3AJ5eI5OnqOPBNLWSHKh2a30DoXe8/edit?usp=sharing"",""นราธิวาส!I224"")"),0)</f>
        <v>0</v>
      </c>
      <c r="J324" s="210">
        <f ca="1">IFERROR(__xludf.DUMMYFUNCTION("IMPORTRANGE(""https://docs.google.com/spreadsheets/d/1IYY_tgx_IHuhSq3AJ5eI5OnqOPBNLWSHKh2a30DoXe8/edit?usp=sharing"",""นราธิวาส!J224"")"),0)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IFERROR(__xludf.DUMMYFUNCTION("IMPORTRANGE(""https://docs.google.com/spreadsheets/d/1IYY_tgx_IHuhSq3AJ5eI5OnqOPBNLWSHKh2a30DoXe8/edit?usp=sharing"",""นราธิวาส!J225"")"),0)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IFERROR(__xludf.DUMMYFUNCTION("IMPORTRANGE(""https://docs.google.com/spreadsheets/d/1IYY_tgx_IHuhSq3AJ5eI5OnqOPBNLWSHKh2a30DoXe8/edit?usp=sharing"",""นราธิวาส!J226"")"),0)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IFERROR(__xludf.DUMMYFUNCTION("IMPORTRANGE(""https://docs.google.com/spreadsheets/d/1IYY_tgx_IHuhSq3AJ5eI5OnqOPBNLWSHKh2a30DoXe8/edit?usp=sharing"",""นราธิวาส!J228"")"),11)</f>
        <v>11</v>
      </c>
      <c r="K328" s="323">
        <f ca="1">IF(I328&gt;0,J328*100/I328,0)</f>
        <v>16.923076923076923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7">L330+L331</f>
        <v>721520</v>
      </c>
      <c r="M329" s="156">
        <f t="shared" ca="1" si="97"/>
        <v>758610</v>
      </c>
      <c r="N329" s="156">
        <f t="shared" ca="1" si="97"/>
        <v>537155.6</v>
      </c>
      <c r="O329" s="155">
        <f t="shared" ref="O329:O331" ca="1" si="98">IF(L329&gt;0,N329*100/L329,0)</f>
        <v>74.447776915400823</v>
      </c>
      <c r="P329" s="155">
        <f t="shared" ref="P329:P331" ca="1" si="99">IF(M329&gt;0,N329*100/M329,0)</f>
        <v>70.807872292745941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721520</v>
      </c>
      <c r="M331" s="161">
        <f t="shared" ca="1" si="101"/>
        <v>758610</v>
      </c>
      <c r="N331" s="161">
        <f t="shared" ca="1" si="101"/>
        <v>537155.6</v>
      </c>
      <c r="O331" s="160">
        <f t="shared" ca="1" si="98"/>
        <v>74.447776915400823</v>
      </c>
      <c r="P331" s="160">
        <f t="shared" ca="1" si="99"/>
        <v>70.807872292745941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721520</v>
      </c>
      <c r="M333" s="173">
        <f ca="1">IFERROR(__xludf.DUMMYFUNCTION("IMPORTRANGE(""https://docs.google.com/spreadsheets/d/1Yj_ptqi66GCucihVvJfMjLAmec39IyEx_6qawtMGysU/edit?usp=sharing"",""สบก!DL85"")"),758610)</f>
        <v>758610</v>
      </c>
      <c r="N333" s="174">
        <f ca="1">IFERROR(__xludf.DUMMYFUNCTION("IMPORTRANGE(""https://docs.google.com/spreadsheets/d/1Yj_ptqi66GCucihVvJfMjLAmec39IyEx_6qawtMGysU/edit?usp=sharing"",""สบก!DM85"")"),537155.6)</f>
        <v>537155.6</v>
      </c>
      <c r="O333" s="175">
        <f ca="1">IF(L333&gt;0,N333*100/L333,0)</f>
        <v>74.447776915400823</v>
      </c>
      <c r="P333" s="175">
        <f ca="1">IF(M333&gt;0,N333*100/M333,0)</f>
        <v>70.807872292745941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IFERROR(__xludf.DUMMYFUNCTION("IMPORTRANGE(""https://docs.google.com/spreadsheets/d/1Yj_ptqi66GCucihVvJfMjLAmec39IyEx_6qawtMGysU/edit?usp=sharing"",""สบก!DH85"")"),506800)</f>
        <v>506800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IFERROR(__xludf.DUMMYFUNCTION("IMPORTRANGE(""https://docs.google.com/spreadsheets/d/1Yj_ptqi66GCucihVvJfMjLAmec39IyEx_6qawtMGysU/edit?usp=sharing"",""สบก!DI85"")"),214720)</f>
        <v>214720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IFERROR(__xludf.DUMMYFUNCTION("IMPORTRANGE(""https://docs.google.com/spreadsheets/d/1IYY_tgx_IHuhSq3AJ5eI5OnqOPBNLWSHKh2a30DoXe8/edit?usp=sharing"",""นราธิวาส!I234"")"),0)</f>
        <v>0</v>
      </c>
      <c r="J339" s="194">
        <f ca="1">IFERROR(__xludf.DUMMYFUNCTION("IMPORTRANGE(""https://docs.google.com/spreadsheets/d/1IYY_tgx_IHuhSq3AJ5eI5OnqOPBNLWSHKh2a30DoXe8/edit?usp=sharing"",""นราธิวาส!J234"")"),50)</f>
        <v>50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IFERROR(__xludf.DUMMYFUNCTION("IMPORTRANGE(""https://docs.google.com/spreadsheets/d/1IYY_tgx_IHuhSq3AJ5eI5OnqOPBNLWSHKh2a30DoXe8/edit?usp=sharing"",""นราธิวาส!I235"")"),165)</f>
        <v>165</v>
      </c>
      <c r="J340" s="194">
        <f ca="1">IFERROR(__xludf.DUMMYFUNCTION("IMPORTRANGE(""https://docs.google.com/spreadsheets/d/1IYY_tgx_IHuhSq3AJ5eI5OnqOPBNLWSHKh2a30DoXe8/edit?usp=sharing"",""นราธิวาส!J235"")"),214.299999999999)</f>
        <v>214.29999999999899</v>
      </c>
      <c r="K340" s="348">
        <f t="shared" ca="1" si="102"/>
        <v>129.87878787878725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IFERROR(__xludf.DUMMYFUNCTION("IMPORTRANGE(""https://docs.google.com/spreadsheets/d/1IYY_tgx_IHuhSq3AJ5eI5OnqOPBNLWSHKh2a30DoXe8/edit?usp=sharing"",""นราธิวาส!I236"")"),65)</f>
        <v>65</v>
      </c>
      <c r="J341" s="194">
        <f ca="1">IFERROR(__xludf.DUMMYFUNCTION("IMPORTRANGE(""https://docs.google.com/spreadsheets/d/1IYY_tgx_IHuhSq3AJ5eI5OnqOPBNLWSHKh2a30DoXe8/edit?usp=sharing"",""นราธิวาส!J236"")"),56)</f>
        <v>56</v>
      </c>
      <c r="K341" s="348">
        <f t="shared" ca="1" si="102"/>
        <v>86.15384615384616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4">
        <f ca="1">IFERROR(__xludf.DUMMYFUNCTION("IMPORTRANGE(""https://docs.google.com/spreadsheets/d/1IYY_tgx_IHuhSq3AJ5eI5OnqOPBNLWSHKh2a30DoXe8/edit?usp=sharing"",""นราธิวาส!J237"")"),251.15)</f>
        <v>251.15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IFERROR(__xludf.DUMMYFUNCTION("IMPORTRANGE(""https://docs.google.com/spreadsheets/d/1IYY_tgx_IHuhSq3AJ5eI5OnqOPBNLWSHKh2a30DoXe8/edit?usp=sharing"",""นราธิวาส!I238"")"),65)</f>
        <v>65</v>
      </c>
      <c r="J343" s="194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2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4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IFERROR(__xludf.DUMMYFUNCTION("IMPORTRANGE(""https://docs.google.com/spreadsheets/d/1IYY_tgx_IHuhSq3AJ5eI5OnqOPBNLWSHKh2a30DoXe8/edit?usp=sharing"",""นราธิวาส!I240"")"),65)</f>
        <v>65</v>
      </c>
      <c r="J345" s="194">
        <f ca="1">IFERROR(__xludf.DUMMYFUNCTION("IMPORTRANGE(""https://docs.google.com/spreadsheets/d/1IYY_tgx_IHuhSq3AJ5eI5OnqOPBNLWSHKh2a30DoXe8/edit?usp=sharing"",""นราธิวาส!J240"")"),11)</f>
        <v>11</v>
      </c>
      <c r="K345" s="348">
        <f t="shared" ca="1" si="102"/>
        <v>16.923076923076923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4">
        <f ca="1">IFERROR(__xludf.DUMMYFUNCTION("IMPORTRANGE(""https://docs.google.com/spreadsheets/d/1IYY_tgx_IHuhSq3AJ5eI5OnqOPBNLWSHKh2a30DoXe8/edit?usp=sharing"",""นราธิวาส!J241"")"),77.89)</f>
        <v>77.89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IFERROR(__xludf.DUMMYFUNCTION("IMPORTRANGE(""https://docs.google.com/spreadsheets/d/1IYY_tgx_IHuhSq3AJ5eI5OnqOPBNLWSHKh2a30DoXe8/edit?usp=sharing"",""นราธิวาส!L242"")"),1521708)</f>
        <v>1521708</v>
      </c>
      <c r="M347" s="364"/>
      <c r="N347" s="364">
        <f ca="1">IFERROR(__xludf.DUMMYFUNCTION("IMPORTRANGE(""https://docs.google.com/spreadsheets/d/1IYY_tgx_IHuhSq3AJ5eI5OnqOPBNLWSHKh2a30DoXe8/edit?usp=sharing"",""นราธิวาส!M242"")"),1493711.45)</f>
        <v>1493711.45</v>
      </c>
      <c r="O347" s="364">
        <f ca="1">+IF(L347&gt;0,N347*100/L347,0)</f>
        <v>98.160189077010827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3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3"/>
        <v>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IFERROR(__xludf.DUMMYFUNCTION("IMPORTRANGE(""https://docs.google.com/spreadsheets/d/1IYY_tgx_IHuhSq3AJ5eI5OnqOPBNLWSHKh2a30DoXe8/edit?usp=sharing"",""นราธิวาส!L246"")"),0)</f>
        <v>0</v>
      </c>
      <c r="M351" s="168"/>
      <c r="N351" s="168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8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4"/>
        <v>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IFERROR(__xludf.DUMMYFUNCTION("IMPORTRANGE(""https://docs.google.com/spreadsheets/d/1IYY_tgx_IHuhSq3AJ5eI5OnqOPBNLWSHKh2a30DoXe8/edit?usp=sharing"",""นราธิวาส!L248"")"),0)</f>
        <v>0</v>
      </c>
      <c r="M353" s="175"/>
      <c r="N353" s="175">
        <f ca="1">IFERROR(__xludf.DUMMYFUNCTION("IMPORTRANGE(""https://docs.google.com/spreadsheets/d/1IYY_tgx_IHuhSq3AJ5eI5OnqOPBNLWSHKh2a30DoXe8/edit?usp=sharing"",""นราธิวาส!M248"")"),0)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IFERROR(__xludf.DUMMYFUNCTION("IMPORTRANGE(""https://docs.google.com/spreadsheets/d/1IYY_tgx_IHuhSq3AJ5eI5OnqOPBNLWSHKh2a30DoXe8/edit?usp=sharing"",""นราธิวาส!L249"")"),0)</f>
        <v>0</v>
      </c>
      <c r="M354" s="175"/>
      <c r="N354" s="172">
        <f ca="1">IFERROR(__xludf.DUMMYFUNCTION("IMPORTRANGE(""https://docs.google.com/spreadsheets/d/1IYY_tgx_IHuhSq3AJ5eI5OnqOPBNLWSHKh2a30DoXe8/edit?usp=sharing"",""นราธิวาส!M249"")"),0)</f>
        <v>0</v>
      </c>
      <c r="O354" s="175">
        <f t="shared" ca="1" si="104"/>
        <v>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IFERROR(__xludf.DUMMYFUNCTION("IMPORTRANGE(""https://docs.google.com/spreadsheets/d/1IYY_tgx_IHuhSq3AJ5eI5OnqOPBNLWSHKh2a30DoXe8/edit?usp=sharing"",""นราธิวาส!J255"")"),0)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IFERROR(__xludf.DUMMYFUNCTION("IMPORTRANGE(""https://docs.google.com/spreadsheets/d/1IYY_tgx_IHuhSq3AJ5eI5OnqOPBNLWSHKh2a30DoXe8/edit?usp=sharing"",""นราธิวาส!J256"")"),0)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IFERROR(__xludf.DUMMYFUNCTION("IMPORTRANGE(""https://docs.google.com/spreadsheets/d/1IYY_tgx_IHuhSq3AJ5eI5OnqOPBNLWSHKh2a30DoXe8/edit?usp=sharing"",""นราธิวาส!J257"")"),0)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IFERROR(__xludf.DUMMYFUNCTION("IMPORTRANGE(""https://docs.google.com/spreadsheets/d/1IYY_tgx_IHuhSq3AJ5eI5OnqOPBNLWSHKh2a30DoXe8/edit?usp=sharing"",""นราธิวาส!J258"")"),0)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IFERROR(__xludf.DUMMYFUNCTION("IMPORTRANGE(""https://docs.google.com/spreadsheets/d/1IYY_tgx_IHuhSq3AJ5eI5OnqOPBNLWSHKh2a30DoXe8/edit?usp=sharing"",""นราธิวาส!J166"")"),0)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IFERROR(__xludf.DUMMYFUNCTION("IMPORTRANGE(""https://docs.google.com/spreadsheets/d/1IYY_tgx_IHuhSq3AJ5eI5OnqOPBNLWSHKh2a30DoXe8/edit?usp=sharing"",""นราธิวาส!J166"")"),0)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IFERROR(__xludf.DUMMYFUNCTION("IMPORTRANGE(""https://docs.google.com/spreadsheets/d/1IYY_tgx_IHuhSq3AJ5eI5OnqOPBNLWSHKh2a30DoXe8/edit?usp=sharing"",""นราธิวาส!J166"")"),0)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IFERROR(__xludf.DUMMYFUNCTION("IMPORTRANGE(""https://docs.google.com/spreadsheets/d/1IYY_tgx_IHuhSq3AJ5eI5OnqOPBNLWSHKh2a30DoXe8/edit?usp=sharing"",""นราธิวาส!J166"")"),0)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IFERROR(__xludf.DUMMYFUNCTION("IMPORTRANGE(""https://docs.google.com/spreadsheets/d/1IYY_tgx_IHuhSq3AJ5eI5OnqOPBNLWSHKh2a30DoXe8/edit?usp=sharing"",""นราธิวาส!I263"")"),0)</f>
        <v>0</v>
      </c>
      <c r="J368" s="194">
        <f ca="1">IFERROR(__xludf.DUMMYFUNCTION("IMPORTRANGE(""https://docs.google.com/spreadsheets/d/1IYY_tgx_IHuhSq3AJ5eI5OnqOPBNLWSHKh2a30DoXe8/edit?usp=sharing"",""นราธิวาส!J263"")"),0)</f>
        <v>0</v>
      </c>
      <c r="K368" s="167">
        <f t="shared" ca="1" si="105"/>
        <v>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IFERROR(__xludf.DUMMYFUNCTION("IMPORTRANGE(""https://docs.google.com/spreadsheets/d/1IYY_tgx_IHuhSq3AJ5eI5OnqOPBNLWSHKh2a30DoXe8/edit?usp=sharing"",""นราธิวาส!I164"")"),0)</f>
        <v>0</v>
      </c>
      <c r="J369" s="210">
        <f ca="1">IFERROR(__xludf.DUMMYFUNCTION("IMPORTRANGE(""https://docs.google.com/spreadsheets/d/1IYY_tgx_IHuhSq3AJ5eI5OnqOPBNLWSHKh2a30DoXe8/edit?usp=sharing"",""นราธิวาส!J164"")"),0)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IFERROR(__xludf.DUMMYFUNCTION("IMPORTRANGE(""https://docs.google.com/spreadsheets/d/1IYY_tgx_IHuhSq3AJ5eI5OnqOPBNLWSHKh2a30DoXe8/edit?usp=sharing"",""นราธิวาส!I265"")"),0)</f>
        <v>0</v>
      </c>
      <c r="J370" s="210">
        <f ca="1">IFERROR(__xludf.DUMMYFUNCTION("IMPORTRANGE(""https://docs.google.com/spreadsheets/d/1IYY_tgx_IHuhSq3AJ5eI5OnqOPBNLWSHKh2a30DoXe8/edit?usp=sharing"",""นราธิวาส!J265"")"),0)</f>
        <v>0</v>
      </c>
      <c r="K370" s="167">
        <f t="shared" ca="1" si="105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IFERROR(__xludf.DUMMYFUNCTION("IMPORTRANGE(""https://docs.google.com/spreadsheets/d/1IYY_tgx_IHuhSq3AJ5eI5OnqOPBNLWSHKh2a30DoXe8/edit?usp=sharing"",""นราธิวาส!I164"")"),0)</f>
        <v>0</v>
      </c>
      <c r="J371" s="195">
        <f ca="1">IFERROR(__xludf.DUMMYFUNCTION("IMPORTRANGE(""https://docs.google.com/spreadsheets/d/1IYY_tgx_IHuhSq3AJ5eI5OnqOPBNLWSHKh2a30DoXe8/edit?usp=sharing"",""นราธิวาส!J164"")"),0)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IFERROR(__xludf.DUMMYFUNCTION("IMPORTRANGE(""https://docs.google.com/spreadsheets/d/1IYY_tgx_IHuhSq3AJ5eI5OnqOPBNLWSHKh2a30DoXe8/edit?usp=sharing"",""นราธิวาส!I267"")"),0)</f>
        <v>0</v>
      </c>
      <c r="J372" s="195">
        <f ca="1">IFERROR(__xludf.DUMMYFUNCTION("IMPORTRANGE(""https://docs.google.com/spreadsheets/d/1IYY_tgx_IHuhSq3AJ5eI5OnqOPBNLWSHKh2a30DoXe8/edit?usp=sharing"",""นราธิวาส!J267"")"),0)</f>
        <v>0</v>
      </c>
      <c r="K372" s="167">
        <f t="shared" ca="1" si="105"/>
        <v>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IFERROR(__xludf.DUMMYFUNCTION("IMPORTRANGE(""https://docs.google.com/spreadsheets/d/1IYY_tgx_IHuhSq3AJ5eI5OnqOPBNLWSHKh2a30DoXe8/edit?usp=sharing"",""นราธิวาส!I164"")"),0)</f>
        <v>0</v>
      </c>
      <c r="J373" s="210">
        <f ca="1">IFERROR(__xludf.DUMMYFUNCTION("IMPORTRANGE(""https://docs.google.com/spreadsheets/d/1IYY_tgx_IHuhSq3AJ5eI5OnqOPBNLWSHKh2a30DoXe8/edit?usp=sharing"",""นราธิวาส!J164"")"),0)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IFERROR(__xludf.DUMMYFUNCTION("IMPORTRANGE(""https://docs.google.com/spreadsheets/d/1IYY_tgx_IHuhSq3AJ5eI5OnqOPBNLWSHKh2a30DoXe8/edit?usp=sharing"",""นราธิวาส!I164"")"),0)</f>
        <v>0</v>
      </c>
      <c r="J374" s="194">
        <f ca="1">IFERROR(__xludf.DUMMYFUNCTION("IMPORTRANGE(""https://docs.google.com/spreadsheets/d/1IYY_tgx_IHuhSq3AJ5eI5OnqOPBNLWSHKh2a30DoXe8/edit?usp=sharing"",""นราธิวาส!J164"")"),0)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IFERROR(__xludf.DUMMYFUNCTION("IMPORTRANGE(""https://docs.google.com/spreadsheets/d/1IYY_tgx_IHuhSq3AJ5eI5OnqOPBNLWSHKh2a30DoXe8/edit?usp=sharing"",""นราธิวาส!I270"")"),0)</f>
        <v>0</v>
      </c>
      <c r="J375" s="194">
        <f ca="1">IFERROR(__xludf.DUMMYFUNCTION("IMPORTRANGE(""https://docs.google.com/spreadsheets/d/1IYY_tgx_IHuhSq3AJ5eI5OnqOPBNLWSHKh2a30DoXe8/edit?usp=sharing"",""นราธิวาส!J270"")"),0)</f>
        <v>0</v>
      </c>
      <c r="K375" s="167">
        <f t="shared" ref="K375:K377" ca="1" si="106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IFERROR(__xludf.DUMMYFUNCTION("IMPORTRANGE(""https://docs.google.com/spreadsheets/d/1IYY_tgx_IHuhSq3AJ5eI5OnqOPBNLWSHKh2a30DoXe8/edit?usp=sharing"",""นราธิวาส!I271"")"),0)</f>
        <v>0</v>
      </c>
      <c r="J376" s="195">
        <f ca="1">IFERROR(__xludf.DUMMYFUNCTION("IMPORTRANGE(""https://docs.google.com/spreadsheets/d/1IYY_tgx_IHuhSq3AJ5eI5OnqOPBNLWSHKh2a30DoXe8/edit?usp=sharing"",""นราธิวาส!J271"")"),0)</f>
        <v>0</v>
      </c>
      <c r="K376" s="167">
        <f t="shared" ca="1" si="106"/>
        <v>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IFERROR(__xludf.DUMMYFUNCTION("IMPORTRANGE(""https://docs.google.com/spreadsheets/d/1IYY_tgx_IHuhSq3AJ5eI5OnqOPBNLWSHKh2a30DoXe8/edit?usp=sharing"",""นราธิวาส!I272"")"),0)</f>
        <v>0</v>
      </c>
      <c r="J377" s="210">
        <f ca="1">IFERROR(__xludf.DUMMYFUNCTION("IMPORTRANGE(""https://docs.google.com/spreadsheets/d/1IYY_tgx_IHuhSq3AJ5eI5OnqOPBNLWSHKh2a30DoXe8/edit?usp=sharing"",""นราธิวาส!J272"")"),0)</f>
        <v>0</v>
      </c>
      <c r="K377" s="167">
        <f t="shared" ca="1" si="106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IFERROR(__xludf.DUMMYFUNCTION("IMPORTRANGE(""https://docs.google.com/spreadsheets/d/1IYY_tgx_IHuhSq3AJ5eI5OnqOPBNLWSHKh2a30DoXe8/edit?usp=sharing"",""นราธิวาส!J273"")"),0)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IFERROR(__xludf.DUMMYFUNCTION("IMPORTRANGE(""https://docs.google.com/spreadsheets/d/1IYY_tgx_IHuhSq3AJ5eI5OnqOPBNLWSHKh2a30DoXe8/edit?usp=sharing"",""นราธิวาส!J274"")"),0)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IFERROR(__xludf.DUMMYFUNCTION("IMPORTRANGE(""https://docs.google.com/spreadsheets/d/1IYY_tgx_IHuhSq3AJ5eI5OnqOPBNLWSHKh2a30DoXe8/edit?usp=sharing"",""นราธิวาส!J275"")"),100)</f>
        <v>100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IFERROR(__xludf.DUMMYFUNCTION("IMPORTRANGE(""https://docs.google.com/spreadsheets/d/1IYY_tgx_IHuhSq3AJ5eI5OnqOPBNLWSHKh2a30DoXe8/edit?usp=sharing"",""นราธิวาส!M275"")"),127660)</f>
        <v>127660</v>
      </c>
      <c r="O380" s="379">
        <f ca="1">+IF(L380&gt;0,N380*100/L380,0)</f>
        <v>100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IFERROR(__xludf.DUMMYFUNCTION("IMPORTRANGE(""https://docs.google.com/spreadsheets/d/1IYY_tgx_IHuhSq3AJ5eI5OnqOPBNLWSHKh2a30DoXe8/edit?usp=sharing"",""นราธิวาส!L277"")"),0)</f>
        <v>0</v>
      </c>
      <c r="M382" s="168"/>
      <c r="N382" s="168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IFERROR(__xludf.DUMMYFUNCTION("IMPORTRANGE(""https://docs.google.com/spreadsheets/d/1IYY_tgx_IHuhSq3AJ5eI5OnqOPBNLWSHKh2a30DoXe8/edit?usp=sharing"",""นราธิวาส!M278"")"),127660)</f>
        <v>127660</v>
      </c>
      <c r="O383" s="169">
        <f t="shared" ca="1" si="108"/>
        <v>100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IFERROR(__xludf.DUMMYFUNCTION("IMPORTRANGE(""https://docs.google.com/spreadsheets/d/1IYY_tgx_IHuhSq3AJ5eI5OnqOPBNLWSHKh2a30DoXe8/edit?usp=sharing"",""นราธิวาส!L279"")"),0)</f>
        <v>0</v>
      </c>
      <c r="M384" s="175"/>
      <c r="N384" s="175">
        <f ca="1">IFERROR(__xludf.DUMMYFUNCTION("IMPORTRANGE(""https://docs.google.com/spreadsheets/d/1IYY_tgx_IHuhSq3AJ5eI5OnqOPBNLWSHKh2a30DoXe8/edit?usp=sharing"",""นราธิวาส!M279"")"),0)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IFERROR(__xludf.DUMMYFUNCTION("IMPORTRANGE(""https://docs.google.com/spreadsheets/d/1IYY_tgx_IHuhSq3AJ5eI5OnqOPBNLWSHKh2a30DoXe8/edit?usp=sharing"",""นราธิวาส!L280"")"),127660)</f>
        <v>127660</v>
      </c>
      <c r="M385" s="175"/>
      <c r="N385" s="172">
        <f ca="1">IFERROR(__xludf.DUMMYFUNCTION("IMPORTRANGE(""https://docs.google.com/spreadsheets/d/1IYY_tgx_IHuhSq3AJ5eI5OnqOPBNLWSHKh2a30DoXe8/edit?usp=sharing"",""นราธิวาส!M280"")"),127660)</f>
        <v>127660</v>
      </c>
      <c r="O385" s="175">
        <f t="shared" ca="1" si="108"/>
        <v>100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IFERROR(__xludf.DUMMYFUNCTION("IMPORTRANGE(""https://docs.google.com/spreadsheets/d/1IYY_tgx_IHuhSq3AJ5eI5OnqOPBNLWSHKh2a30DoXe8/edit?usp=sharing"",""นราธิวาส!M282"")"),62500)</f>
        <v>62500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IFERROR(__xludf.DUMMYFUNCTION("IMPORTRANGE(""https://docs.google.com/spreadsheets/d/1IYY_tgx_IHuhSq3AJ5eI5OnqOPBNLWSHKh2a30DoXe8/edit?usp=sharing"",""นราธิวาส!M284"")"),23760)</f>
        <v>23760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IFERROR(__xludf.DUMMYFUNCTION("IMPORTRANGE(""https://docs.google.com/spreadsheets/d/1IYY_tgx_IHuhSq3AJ5eI5OnqOPBNLWSHKh2a30DoXe8/edit?usp=sharing"",""นราธิวาส!J286"")"),0)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IFERROR(__xludf.DUMMYFUNCTION("IMPORTRANGE(""https://docs.google.com/spreadsheets/d/1IYY_tgx_IHuhSq3AJ5eI5OnqOPBNLWSHKh2a30DoXe8/edit?usp=sharing"",""นราธิวาส!J287"")"),1)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IFERROR(__xludf.DUMMYFUNCTION("IMPORTRANGE(""https://docs.google.com/spreadsheets/d/1IYY_tgx_IHuhSq3AJ5eI5OnqOPBNLWSHKh2a30DoXe8/edit?usp=sharing"",""นราธิวาส!J288"")"),1)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IFERROR(__xludf.DUMMYFUNCTION("IMPORTRANGE(""https://docs.google.com/spreadsheets/d/1IYY_tgx_IHuhSq3AJ5eI5OnqOPBNLWSHKh2a30DoXe8/edit?usp=sharing"",""นราธิวาส!J289"")"),1)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IFERROR(__xludf.DUMMYFUNCTION("IMPORTRANGE(""https://docs.google.com/spreadsheets/d/1IYY_tgx_IHuhSq3AJ5eI5OnqOPBNLWSHKh2a30DoXe8/edit?usp=sharing"",""นราธิวาส!I291"")"),10)</f>
        <v>10</v>
      </c>
      <c r="J396" s="204">
        <f ca="1">IFERROR(__xludf.DUMMYFUNCTION("IMPORTRANGE(""https://docs.google.com/spreadsheets/d/1IYY_tgx_IHuhSq3AJ5eI5OnqOPBNLWSHKh2a30DoXe8/edit?usp=sharing"",""นราธิวาส!J291"")"),10)</f>
        <v>10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IFERROR(__xludf.DUMMYFUNCTION("IMPORTRANGE(""https://docs.google.com/spreadsheets/d/1IYY_tgx_IHuhSq3AJ5eI5OnqOPBNLWSHKh2a30DoXe8/edit?usp=sharing"",""นราธิวาส!I292"")"),100)</f>
        <v>100</v>
      </c>
      <c r="J397" s="204">
        <f ca="1">IFERROR(__xludf.DUMMYFUNCTION("IMPORTRANGE(""https://docs.google.com/spreadsheets/d/1IYY_tgx_IHuhSq3AJ5eI5OnqOPBNLWSHKh2a30DoXe8/edit?usp=sharing"",""นราธิวาส!J292"")"),100)</f>
        <v>100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IFERROR(__xludf.DUMMYFUNCTION("IMPORTRANGE(""https://docs.google.com/spreadsheets/d/1IYY_tgx_IHuhSq3AJ5eI5OnqOPBNLWSHKh2a30DoXe8/edit?usp=sharing"",""นราธิวาส!I293"")"),10)</f>
        <v>10</v>
      </c>
      <c r="J398" s="204">
        <f ca="1">IFERROR(__xludf.DUMMYFUNCTION("IMPORTRANGE(""https://docs.google.com/spreadsheets/d/1IYY_tgx_IHuhSq3AJ5eI5OnqOPBNLWSHKh2a30DoXe8/edit?usp=sharing"",""นราธิวาส!J293"")"),10)</f>
        <v>10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IFERROR(__xludf.DUMMYFUNCTION("IMPORTRANGE(""https://docs.google.com/spreadsheets/d/1IYY_tgx_IHuhSq3AJ5eI5OnqOPBNLWSHKh2a30DoXe8/edit?usp=sharing"",""นราธิวาส!J294"")"),0)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IFERROR(__xludf.DUMMYFUNCTION("IMPORTRANGE(""https://docs.google.com/spreadsheets/d/1IYY_tgx_IHuhSq3AJ5eI5OnqOPBNLWSHKh2a30DoXe8/edit?usp=sharing"",""นราธิวาส!J295"")"),0)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IFERROR(__xludf.DUMMYFUNCTION("IMPORTRANGE(""https://docs.google.com/spreadsheets/d/1IYY_tgx_IHuhSq3AJ5eI5OnqOPBNLWSHKh2a30DoXe8/edit?usp=sharing"",""นราธิวาส!M296"")"),192100)</f>
        <v>192100</v>
      </c>
      <c r="O401" s="379">
        <f ca="1">+IF(L401&gt;0,N401*100/L401,0)</f>
        <v>98.140390313681408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IFERROR(__xludf.DUMMYFUNCTION("IMPORTRANGE(""https://docs.google.com/spreadsheets/d/1IYY_tgx_IHuhSq3AJ5eI5OnqOPBNLWSHKh2a30DoXe8/edit?usp=sharing"",""นราธิวาส!L298"")"),0)</f>
        <v>0</v>
      </c>
      <c r="M403" s="168"/>
      <c r="N403" s="175">
        <f ca="1">IFERROR(__xludf.DUMMYFUNCTION("IMPORTRANGE(""https://docs.google.com/spreadsheets/d/1IYY_tgx_IHuhSq3AJ5eI5OnqOPBNLWSHKh2a30DoXe8/edit?usp=sharing"",""นราธิวาส!M298"")"),0)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5">
        <f ca="1">IFERROR(__xludf.DUMMYFUNCTION("IMPORTRANGE(""https://docs.google.com/spreadsheets/d/1IYY_tgx_IHuhSq3AJ5eI5OnqOPBNLWSHKh2a30DoXe8/edit?usp=sharing"",""นราธิวาส!M299"")"),192100)</f>
        <v>192100</v>
      </c>
      <c r="O404" s="175">
        <f t="shared" ca="1" si="111"/>
        <v>98.140390313681408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IFERROR(__xludf.DUMMYFUNCTION("IMPORTRANGE(""https://docs.google.com/spreadsheets/d/1IYY_tgx_IHuhSq3AJ5eI5OnqOPBNLWSHKh2a30DoXe8/edit?usp=sharing"",""นราธิวาส!L300"")"),0)</f>
        <v>0</v>
      </c>
      <c r="M405" s="175"/>
      <c r="N405" s="175">
        <f ca="1">IFERROR(__xludf.DUMMYFUNCTION("IMPORTRANGE(""https://docs.google.com/spreadsheets/d/1IYY_tgx_IHuhSq3AJ5eI5OnqOPBNLWSHKh2a30DoXe8/edit?usp=sharing"",""นราธิวาส!M300"")"),0)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IFERROR(__xludf.DUMMYFUNCTION("IMPORTRANGE(""https://docs.google.com/spreadsheets/d/1IYY_tgx_IHuhSq3AJ5eI5OnqOPBNLWSHKh2a30DoXe8/edit?usp=sharing"",""นราธิวาส!L301"")"),195740)</f>
        <v>195740</v>
      </c>
      <c r="M406" s="175"/>
      <c r="N406" s="175">
        <f ca="1">IFERROR(__xludf.DUMMYFUNCTION("IMPORTRANGE(""https://docs.google.com/spreadsheets/d/1IYY_tgx_IHuhSq3AJ5eI5OnqOPBNLWSHKh2a30DoXe8/edit?usp=sharing"",""นราธิวาส!M301"")"),192100)</f>
        <v>192100</v>
      </c>
      <c r="O406" s="175">
        <f t="shared" ca="1" si="111"/>
        <v>98.140390313681408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IFERROR(__xludf.DUMMYFUNCTION("IMPORTRANGE(""https://docs.google.com/spreadsheets/d/1IYY_tgx_IHuhSq3AJ5eI5OnqOPBNLWSHKh2a30DoXe8/edit?usp=sharing"",""นราธิวาส!M305"")"),28700)</f>
        <v>28700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IFERROR(__xludf.DUMMYFUNCTION("IMPORTRANGE(""https://docs.google.com/spreadsheets/d/1IYY_tgx_IHuhSq3AJ5eI5OnqOPBNLWSHKh2a30DoXe8/edit?usp=sharing"",""นราธิวาส!J307"")"),0)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IFERROR(__xludf.DUMMYFUNCTION("IMPORTRANGE(""https://docs.google.com/spreadsheets/d/1IYY_tgx_IHuhSq3AJ5eI5OnqOPBNLWSHKh2a30DoXe8/edit?usp=sharing"",""นราธิวาส!J308"")"),1)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IFERROR(__xludf.DUMMYFUNCTION("IMPORTRANGE(""https://docs.google.com/spreadsheets/d/1IYY_tgx_IHuhSq3AJ5eI5OnqOPBNLWSHKh2a30DoXe8/edit?usp=sharing"",""นราธิวาส!J309"")"),1)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IFERROR(__xludf.DUMMYFUNCTION("IMPORTRANGE(""https://docs.google.com/spreadsheets/d/1IYY_tgx_IHuhSq3AJ5eI5OnqOPBNLWSHKh2a30DoXe8/edit?usp=sharing"",""นราธิวาส!J310"")"),1)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IFERROR(__xludf.DUMMYFUNCTION("IMPORTRANGE(""https://docs.google.com/spreadsheets/d/1IYY_tgx_IHuhSq3AJ5eI5OnqOPBNLWSHKh2a30DoXe8/edit?usp=sharing"",""นราธิวาส!I311"")"),55)</f>
        <v>55</v>
      </c>
      <c r="J416" s="207">
        <f ca="1">IFERROR(__xludf.DUMMYFUNCTION("IMPORTRANGE(""https://docs.google.com/spreadsheets/d/1IYY_tgx_IHuhSq3AJ5eI5OnqOPBNLWSHKh2a30DoXe8/edit?usp=sharing"",""นราธิวาส!J311"")"),55)</f>
        <v>55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IFERROR(__xludf.DUMMYFUNCTION("IMPORTRANGE(""https://docs.google.com/spreadsheets/d/1IYY_tgx_IHuhSq3AJ5eI5OnqOPBNLWSHKh2a30DoXe8/edit?usp=sharing"",""นราธิวาส!J328"")"),0)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IFERROR(__xludf.DUMMYFUNCTION("IMPORTRANGE(""https://docs.google.com/spreadsheets/d/1IYY_tgx_IHuhSq3AJ5eI5OnqOPBNLWSHKh2a30DoXe8/edit?usp=sharing"",""นราธิวาส!J329"")"),0)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IFERROR(__xludf.DUMMYFUNCTION("IMPORTRANGE(""https://docs.google.com/spreadsheets/d/1IYY_tgx_IHuhSq3AJ5eI5OnqOPBNLWSHKh2a30DoXe8/edit?usp=sharing"",""นราธิวาส!L330"")"),980000)</f>
        <v>980000</v>
      </c>
      <c r="M435" s="418"/>
      <c r="N435" s="418">
        <f ca="1">IFERROR(__xludf.DUMMYFUNCTION("IMPORTRANGE(""https://docs.google.com/spreadsheets/d/1IYY_tgx_IHuhSq3AJ5eI5OnqOPBNLWSHKh2a30DoXe8/edit?usp=sharing"",""นราธิวาส!M330"")"),1002203.45)</f>
        <v>1002203.45</v>
      </c>
      <c r="O435" s="418">
        <f t="shared" ref="O435:O439" ca="1" si="113">+IF(L435&gt;0,N435*100/L435,0)</f>
        <v>102.2656581632653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IFERROR(__xludf.DUMMYFUNCTION("IMPORTRANGE(""https://docs.google.com/spreadsheets/d/1IYY_tgx_IHuhSq3AJ5eI5OnqOPBNLWSHKh2a30DoXe8/edit?usp=sharing"",""นราธิวาส!L331"")"),0)</f>
        <v>0</v>
      </c>
      <c r="M436" s="168"/>
      <c r="N436" s="175">
        <f ca="1">IFERROR(__xludf.DUMMYFUNCTION("IMPORTRANGE(""https://docs.google.com/spreadsheets/d/1IYY_tgx_IHuhSq3AJ5eI5OnqOPBNLWSHKh2a30DoXe8/edit?usp=sharing"",""นราธิวาส!M331"")"),0)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270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IFERROR(__xludf.DUMMYFUNCTION("IMPORTRANGE(""https://docs.google.com/spreadsheets/d/1IYY_tgx_IHuhSq3AJ5eI5OnqOPBNLWSHKh2a30DoXe8/edit?usp=sharing"",""นราธิวาส!L332"")"),980000)</f>
        <v>980000</v>
      </c>
      <c r="M437" s="169"/>
      <c r="N437" s="175">
        <f ca="1">IFERROR(__xludf.DUMMYFUNCTION("IMPORTRANGE(""https://docs.google.com/spreadsheets/d/1IYY_tgx_IHuhSq3AJ5eI5OnqOPBNLWSHKh2a30DoXe8/edit?usp=sharing"",""นราธิวาส!M332"")"),1002203.45)</f>
        <v>1002203.45</v>
      </c>
      <c r="O437" s="175">
        <f t="shared" ca="1" si="113"/>
        <v>102.2656581632653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IFERROR(__xludf.DUMMYFUNCTION("IMPORTRANGE(""https://docs.google.com/spreadsheets/d/1IYY_tgx_IHuhSq3AJ5eI5OnqOPBNLWSHKh2a30DoXe8/edit?usp=sharing"",""นราธิวาส!L333"")"),0)</f>
        <v>0</v>
      </c>
      <c r="M438" s="175"/>
      <c r="N438" s="175">
        <f ca="1">IFERROR(__xludf.DUMMYFUNCTION("IMPORTRANGE(""https://docs.google.com/spreadsheets/d/1IYY_tgx_IHuhSq3AJ5eI5OnqOPBNLWSHKh2a30DoXe8/edit?usp=sharing"",""นราธิวาส!M333"")"),0)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IFERROR(__xludf.DUMMYFUNCTION("IMPORTRANGE(""https://docs.google.com/spreadsheets/d/1IYY_tgx_IHuhSq3AJ5eI5OnqOPBNLWSHKh2a30DoXe8/edit?usp=sharing"",""นราธิวาส!L334"")"),76000)</f>
        <v>76000</v>
      </c>
      <c r="M439" s="175"/>
      <c r="N439" s="175">
        <f ca="1">IFERROR(__xludf.DUMMYFUNCTION("IMPORTRANGE(""https://docs.google.com/spreadsheets/d/1IYY_tgx_IHuhSq3AJ5eI5OnqOPBNLWSHKh2a30DoXe8/edit?usp=sharing"",""นราธิวาส!M334"")"),98203.45)</f>
        <v>98203.45</v>
      </c>
      <c r="O439" s="175">
        <f t="shared" ca="1" si="113"/>
        <v>129.2150657894737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IFERROR(__xludf.DUMMYFUNCTION("IMPORTRANGE(""https://docs.google.com/spreadsheets/d/1IYY_tgx_IHuhSq3AJ5eI5OnqOPBNLWSHKh2a30DoXe8/edit?usp=sharing"",""นราธิวาส!M338"")"),78003.45)</f>
        <v>78003.45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IFERROR(__xludf.DUMMYFUNCTION("IMPORTRANGE(""https://docs.google.com/spreadsheets/d/1IYY_tgx_IHuhSq3AJ5eI5OnqOPBNLWSHKh2a30DoXe8/edit?usp=sharing"",""นราธิวาส!J340"")"),0)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IFERROR(__xludf.DUMMYFUNCTION("IMPORTRANGE(""https://docs.google.com/spreadsheets/d/1IYY_tgx_IHuhSq3AJ5eI5OnqOPBNLWSHKh2a30DoXe8/edit?usp=sharing"",""นราธิวาส!J341"")"),1)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IFERROR(__xludf.DUMMYFUNCTION("IMPORTRANGE(""https://docs.google.com/spreadsheets/d/1IYY_tgx_IHuhSq3AJ5eI5OnqOPBNLWSHKh2a30DoXe8/edit?usp=sharing"",""นราธิวาส!J342"")"),1)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IFERROR(__xludf.DUMMYFUNCTION("IMPORTRANGE(""https://docs.google.com/spreadsheets/d/1IYY_tgx_IHuhSq3AJ5eI5OnqOPBNLWSHKh2a30DoXe8/edit?usp=sharing"",""นราธิวาส!J343"")"),1)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7">
        <f ca="1">IFERROR(__xludf.DUMMYFUNCTION("IMPORTRANGE(""https://docs.google.com/spreadsheets/d/1IYY_tgx_IHuhSq3AJ5eI5OnqOPBNLWSHKh2a30DoXe8/edit?usp=sharing"",""นราธิวาส!J344"")"),10)</f>
        <v>10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5">
        <f ca="1">IFERROR(__xludf.DUMMYFUNCTION("IMPORTRANGE(""https://docs.google.com/spreadsheets/d/1IYY_tgx_IHuhSq3AJ5eI5OnqOPBNLWSHKh2a30DoXe8/edit?usp=sharing"",""นราธิวาส!J345"")"),10)</f>
        <v>10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4">
        <f ca="1">IFERROR(__xludf.DUMMYFUNCTION("IMPORTRANGE(""https://docs.google.com/spreadsheets/d/1IYY_tgx_IHuhSq3AJ5eI5OnqOPBNLWSHKh2a30DoXe8/edit?usp=sharing"",""นราธิวาส!J346"")"),0)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IFERROR(__xludf.DUMMYFUNCTION("IMPORTRANGE(""https://docs.google.com/spreadsheets/d/1IYY_tgx_IHuhSq3AJ5eI5OnqOPBNLWSHKh2a30DoXe8/edit?usp=sharing"",""นราธิวาส!I347"")"),0)</f>
        <v>0</v>
      </c>
      <c r="J452" s="194">
        <f ca="1">IFERROR(__xludf.DUMMYFUNCTION("IMPORTRANGE(""https://docs.google.com/spreadsheets/d/1IYY_tgx_IHuhSq3AJ5eI5OnqOPBNLWSHKh2a30DoXe8/edit?usp=sharing"",""นราธิวาส!J347"")"),0)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IFERROR(__xludf.DUMMYFUNCTION("IMPORTRANGE(""https://docs.google.com/spreadsheets/d/1IYY_tgx_IHuhSq3AJ5eI5OnqOPBNLWSHKh2a30DoXe8/edit?usp=sharing"",""นราธิวาส!J348"")"),0)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IFERROR(__xludf.DUMMYFUNCTION("IMPORTRANGE(""https://docs.google.com/spreadsheets/d/1IYY_tgx_IHuhSq3AJ5eI5OnqOPBNLWSHKh2a30DoXe8/edit?usp=sharing"",""นราธิวาส!J349"")"),0)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IFERROR(__xludf.DUMMYFUNCTION("IMPORTRANGE(""https://docs.google.com/spreadsheets/d/1IYY_tgx_IHuhSq3AJ5eI5OnqOPBNLWSHKh2a30DoXe8/edit?usp=sharing"",""นราธิวาส!L350"")"),54258)</f>
        <v>54258</v>
      </c>
      <c r="M455" s="379"/>
      <c r="N455" s="379">
        <f ca="1">IFERROR(__xludf.DUMMYFUNCTION("IMPORTRANGE(""https://docs.google.com/spreadsheets/d/1IYY_tgx_IHuhSq3AJ5eI5OnqOPBNLWSHKh2a30DoXe8/edit?usp=sharing"",""นราธิวาส!M350"")"),54258)</f>
        <v>54258</v>
      </c>
      <c r="O455" s="379">
        <f t="shared" ref="O455:O459" ca="1" si="115">+IF(L455&gt;0,N455*100/L455,0)</f>
        <v>100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IFERROR(__xludf.DUMMYFUNCTION("IMPORTRANGE(""https://docs.google.com/spreadsheets/d/1IYY_tgx_IHuhSq3AJ5eI5OnqOPBNLWSHKh2a30DoXe8/edit?usp=sharing"",""นราธิวาส!L351"")"),0)</f>
        <v>0</v>
      </c>
      <c r="M456" s="168"/>
      <c r="N456" s="175">
        <f ca="1">IFERROR(__xludf.DUMMYFUNCTION("IMPORTRANGE(""https://docs.google.com/spreadsheets/d/1IYY_tgx_IHuhSq3AJ5eI5OnqOPBNLWSHKh2a30DoXe8/edit?usp=sharing"",""นราธิวาส!M351"")"),0)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IFERROR(__xludf.DUMMYFUNCTION("IMPORTRANGE(""https://docs.google.com/spreadsheets/d/1IYY_tgx_IHuhSq3AJ5eI5OnqOPBNLWSHKh2a30DoXe8/edit?usp=sharing"",""นราธิวาส!L352"")"),54258)</f>
        <v>54258</v>
      </c>
      <c r="M457" s="169"/>
      <c r="N457" s="175">
        <f ca="1">IFERROR(__xludf.DUMMYFUNCTION("IMPORTRANGE(""https://docs.google.com/spreadsheets/d/1IYY_tgx_IHuhSq3AJ5eI5OnqOPBNLWSHKh2a30DoXe8/edit?usp=sharing"",""นราธิวาส!M352"")"),54258)</f>
        <v>54258</v>
      </c>
      <c r="O457" s="175">
        <f t="shared" ca="1" si="115"/>
        <v>100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IFERROR(__xludf.DUMMYFUNCTION("IMPORTRANGE(""https://docs.google.com/spreadsheets/d/1IYY_tgx_IHuhSq3AJ5eI5OnqOPBNLWSHKh2a30DoXe8/edit?usp=sharing"",""นราธิวาส!L353"")"),0)</f>
        <v>0</v>
      </c>
      <c r="M458" s="175"/>
      <c r="N458" s="175">
        <f ca="1">IFERROR(__xludf.DUMMYFUNCTION("IMPORTRANGE(""https://docs.google.com/spreadsheets/d/1IYY_tgx_IHuhSq3AJ5eI5OnqOPBNLWSHKh2a30DoXe8/edit?usp=sharing"",""นราธิวาส!M353"")"),0)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IFERROR(__xludf.DUMMYFUNCTION("IMPORTRANGE(""https://docs.google.com/spreadsheets/d/1IYY_tgx_IHuhSq3AJ5eI5OnqOPBNLWSHKh2a30DoXe8/edit?usp=sharing"",""นราธิวาส!L354"")"),54258)</f>
        <v>54258</v>
      </c>
      <c r="M459" s="175"/>
      <c r="N459" s="175">
        <f ca="1">IFERROR(__xludf.DUMMYFUNCTION("IMPORTRANGE(""https://docs.google.com/spreadsheets/d/1IYY_tgx_IHuhSq3AJ5eI5OnqOPBNLWSHKh2a30DoXe8/edit?usp=sharing"",""นราธิวาส!M354"")"),54258)</f>
        <v>54258</v>
      </c>
      <c r="O459" s="175">
        <f t="shared" ca="1" si="115"/>
        <v>100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IFERROR(__xludf.DUMMYFUNCTION("IMPORTRANGE(""https://docs.google.com/spreadsheets/d/1IYY_tgx_IHuhSq3AJ5eI5OnqOPBNLWSHKh2a30DoXe8/edit?usp=sharing"",""นราธิวาส!M355"")"),0)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IFERROR(__xludf.DUMMYFUNCTION("IMPORTRANGE(""https://docs.google.com/spreadsheets/d/1IYY_tgx_IHuhSq3AJ5eI5OnqOPBNLWSHKh2a30DoXe8/edit?usp=sharing"",""นราธิวาส!M356"")"),0)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IFERROR(__xludf.DUMMYFUNCTION("IMPORTRANGE(""https://docs.google.com/spreadsheets/d/1IYY_tgx_IHuhSq3AJ5eI5OnqOPBNLWSHKh2a30DoXe8/edit?usp=sharing"",""นราธิวาส!M358"")"),54258)</f>
        <v>54258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IFERROR(__xludf.DUMMYFUNCTION("IMPORTRANGE(""https://docs.google.com/spreadsheets/d/1IYY_tgx_IHuhSq3AJ5eI5OnqOPBNLWSHKh2a30DoXe8/edit?usp=sharing"",""นราธิวาส!I359"")"),3019)</f>
        <v>3019</v>
      </c>
      <c r="J464" s="273">
        <f ca="1">IFERROR(__xludf.DUMMYFUNCTION("IMPORTRANGE(""https://docs.google.com/spreadsheets/d/1IYY_tgx_IHuhSq3AJ5eI5OnqOPBNLWSHKh2a30DoXe8/edit?usp=sharing"",""นราธิวาส!J359"")"),3020)</f>
        <v>3020</v>
      </c>
      <c r="K464" s="274">
        <f t="shared" ref="K464:K515" ca="1" si="116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8">
        <f t="shared" ca="1" si="116"/>
        <v>100.03312355084465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IFERROR(__xludf.DUMMYFUNCTION("IMPORTRANGE(""https://docs.google.com/spreadsheets/d/1IYY_tgx_IHuhSq3AJ5eI5OnqOPBNLWSHKh2a30DoXe8/edit?usp=sharing"",""นราธิวาส!I362"")"),0)</f>
        <v>0</v>
      </c>
      <c r="J467" s="195">
        <f ca="1">IFERROR(__xludf.DUMMYFUNCTION("IMPORTRANGE(""https://docs.google.com/spreadsheets/d/1IYY_tgx_IHuhSq3AJ5eI5OnqOPBNLWSHKh2a30DoXe8/edit?usp=sharing"",""นราธิวาส!J362"")"),2999)</f>
        <v>2999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IFERROR(__xludf.DUMMYFUNCTION("IMPORTRANGE(""https://docs.google.com/spreadsheets/d/1IYY_tgx_IHuhSq3AJ5eI5OnqOPBNLWSHKh2a30DoXe8/edit?usp=sharing"",""นราธิวาส!I363"")"),0)</f>
        <v>0</v>
      </c>
      <c r="J468" s="195">
        <f ca="1">IFERROR(__xludf.DUMMYFUNCTION("IMPORTRANGE(""https://docs.google.com/spreadsheets/d/1IYY_tgx_IHuhSq3AJ5eI5OnqOPBNLWSHKh2a30DoXe8/edit?usp=sharing"",""นราธิวาส!J363"")"),894)</f>
        <v>894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IFERROR(__xludf.DUMMYFUNCTION("IMPORTRANGE(""https://docs.google.com/spreadsheets/d/1IYY_tgx_IHuhSq3AJ5eI5OnqOPBNLWSHKh2a30DoXe8/edit?usp=sharing"",""นราธิวาส!I364"")"),0)</f>
        <v>0</v>
      </c>
      <c r="J469" s="195">
        <f ca="1">IFERROR(__xludf.DUMMYFUNCTION("IMPORTRANGE(""https://docs.google.com/spreadsheets/d/1IYY_tgx_IHuhSq3AJ5eI5OnqOPBNLWSHKh2a30DoXe8/edit?usp=sharing"",""นราธิวาส!J364"")"),0)</f>
        <v>0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IFERROR(__xludf.DUMMYFUNCTION("IMPORTRANGE(""https://docs.google.com/spreadsheets/d/1IYY_tgx_IHuhSq3AJ5eI5OnqOPBNLWSHKh2a30DoXe8/edit?usp=sharing"",""นราธิวาส!I365"")"),0)</f>
        <v>0</v>
      </c>
      <c r="J470" s="195">
        <f ca="1">IFERROR(__xludf.DUMMYFUNCTION("IMPORTRANGE(""https://docs.google.com/spreadsheets/d/1IYY_tgx_IHuhSq3AJ5eI5OnqOPBNLWSHKh2a30DoXe8/edit?usp=sharing"",""นราธิวาส!J365"")"),0)</f>
        <v>0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IFERROR(__xludf.DUMMYFUNCTION("IMPORTRANGE(""https://docs.google.com/spreadsheets/d/1IYY_tgx_IHuhSq3AJ5eI5OnqOPBNLWSHKh2a30DoXe8/edit?usp=sharing"",""นราธิวาส!I366"")"),0)</f>
        <v>0</v>
      </c>
      <c r="J471" s="195">
        <f ca="1">IFERROR(__xludf.DUMMYFUNCTION("IMPORTRANGE(""https://docs.google.com/spreadsheets/d/1IYY_tgx_IHuhSq3AJ5eI5OnqOPBNLWSHKh2a30DoXe8/edit?usp=sharing"",""นราธิวาส!J366"")"),21)</f>
        <v>21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IFERROR(__xludf.DUMMYFUNCTION("IMPORTRANGE(""https://docs.google.com/spreadsheets/d/1IYY_tgx_IHuhSq3AJ5eI5OnqOPBNLWSHKh2a30DoXe8/edit?usp=sharing"",""นราธิวาส!I367"")"),0)</f>
        <v>0</v>
      </c>
      <c r="J472" s="195">
        <f ca="1">IFERROR(__xludf.DUMMYFUNCTION("IMPORTRANGE(""https://docs.google.com/spreadsheets/d/1IYY_tgx_IHuhSq3AJ5eI5OnqOPBNLWSHKh2a30DoXe8/edit?usp=sharing"",""นราธิวาส!J367"")"),8)</f>
        <v>8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8">
        <f t="shared" ca="1" si="116"/>
        <v>100.03312355084465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IFERROR(__xludf.DUMMYFUNCTION("IMPORTRANGE(""https://docs.google.com/spreadsheets/d/1IYY_tgx_IHuhSq3AJ5eI5OnqOPBNLWSHKh2a30DoXe8/edit?usp=sharing"",""นราธิวาส!I370"")"),0)</f>
        <v>0</v>
      </c>
      <c r="J475" s="195">
        <f ca="1">IFERROR(__xludf.DUMMYFUNCTION("IMPORTRANGE(""https://docs.google.com/spreadsheets/d/1IYY_tgx_IHuhSq3AJ5eI5OnqOPBNLWSHKh2a30DoXe8/edit?usp=sharing"",""นราธิวาส!J370"")"),2999)</f>
        <v>2999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IFERROR(__xludf.DUMMYFUNCTION("IMPORTRANGE(""https://docs.google.com/spreadsheets/d/1IYY_tgx_IHuhSq3AJ5eI5OnqOPBNLWSHKh2a30DoXe8/edit?usp=sharing"",""นราธิวาส!I371"")"),0)</f>
        <v>0</v>
      </c>
      <c r="J476" s="195">
        <f ca="1">IFERROR(__xludf.DUMMYFUNCTION("IMPORTRANGE(""https://docs.google.com/spreadsheets/d/1IYY_tgx_IHuhSq3AJ5eI5OnqOPBNLWSHKh2a30DoXe8/edit?usp=sharing"",""นราธิวาส!J371"")"),894)</f>
        <v>894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IFERROR(__xludf.DUMMYFUNCTION("IMPORTRANGE(""https://docs.google.com/spreadsheets/d/1IYY_tgx_IHuhSq3AJ5eI5OnqOPBNLWSHKh2a30DoXe8/edit?usp=sharing"",""นราธิวาส!I372"")"),0)</f>
        <v>0</v>
      </c>
      <c r="J477" s="195">
        <f ca="1">IFERROR(__xludf.DUMMYFUNCTION("IMPORTRANGE(""https://docs.google.com/spreadsheets/d/1IYY_tgx_IHuhSq3AJ5eI5OnqOPBNLWSHKh2a30DoXe8/edit?usp=sharing"",""นราธิวาส!J372"")"),0)</f>
        <v>0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IFERROR(__xludf.DUMMYFUNCTION("IMPORTRANGE(""https://docs.google.com/spreadsheets/d/1IYY_tgx_IHuhSq3AJ5eI5OnqOPBNLWSHKh2a30DoXe8/edit?usp=sharing"",""นราธิวาส!I373"")"),0)</f>
        <v>0</v>
      </c>
      <c r="J478" s="195">
        <f ca="1">IFERROR(__xludf.DUMMYFUNCTION("IMPORTRANGE(""https://docs.google.com/spreadsheets/d/1IYY_tgx_IHuhSq3AJ5eI5OnqOPBNLWSHKh2a30DoXe8/edit?usp=sharing"",""นราธิวาส!J373"")"),0)</f>
        <v>0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IFERROR(__xludf.DUMMYFUNCTION("IMPORTRANGE(""https://docs.google.com/spreadsheets/d/1IYY_tgx_IHuhSq3AJ5eI5OnqOPBNLWSHKh2a30DoXe8/edit?usp=sharing"",""นราธิวาส!I374"")"),0)</f>
        <v>0</v>
      </c>
      <c r="J479" s="195">
        <f ca="1">IFERROR(__xludf.DUMMYFUNCTION("IMPORTRANGE(""https://docs.google.com/spreadsheets/d/1IYY_tgx_IHuhSq3AJ5eI5OnqOPBNLWSHKh2a30DoXe8/edit?usp=sharing"",""นราธิวาส!J374"")"),21)</f>
        <v>21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IFERROR(__xludf.DUMMYFUNCTION("IMPORTRANGE(""https://docs.google.com/spreadsheets/d/1IYY_tgx_IHuhSq3AJ5eI5OnqOPBNLWSHKh2a30DoXe8/edit?usp=sharing"",""นราธิวาส!I375"")"),0)</f>
        <v>0</v>
      </c>
      <c r="J480" s="195">
        <f ca="1">IFERROR(__xludf.DUMMYFUNCTION("IMPORTRANGE(""https://docs.google.com/spreadsheets/d/1IYY_tgx_IHuhSq3AJ5eI5OnqOPBNLWSHKh2a30DoXe8/edit?usp=sharing"",""นราธิวาส!J375"")"),8)</f>
        <v>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8">
        <f t="shared" ca="1" si="116"/>
        <v>100.03312355084465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IFERROR(__xludf.DUMMYFUNCTION("IMPORTRANGE(""https://docs.google.com/spreadsheets/d/1IYY_tgx_IHuhSq3AJ5eI5OnqOPBNLWSHKh2a30DoXe8/edit?usp=sharing"",""นราธิวาส!I378"")"),0)</f>
        <v>0</v>
      </c>
      <c r="J483" s="195">
        <f ca="1">IFERROR(__xludf.DUMMYFUNCTION("IMPORTRANGE(""https://docs.google.com/spreadsheets/d/1IYY_tgx_IHuhSq3AJ5eI5OnqOPBNLWSHKh2a30DoXe8/edit?usp=sharing"",""นราธิวาส!J378"")"),2999)</f>
        <v>2999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IFERROR(__xludf.DUMMYFUNCTION("IMPORTRANGE(""https://docs.google.com/spreadsheets/d/1IYY_tgx_IHuhSq3AJ5eI5OnqOPBNLWSHKh2a30DoXe8/edit?usp=sharing"",""นราธิวาส!I379"")"),0)</f>
        <v>0</v>
      </c>
      <c r="J484" s="195">
        <f ca="1">IFERROR(__xludf.DUMMYFUNCTION("IMPORTRANGE(""https://docs.google.com/spreadsheets/d/1IYY_tgx_IHuhSq3AJ5eI5OnqOPBNLWSHKh2a30DoXe8/edit?usp=sharing"",""นราธิวาส!J379"")"),894)</f>
        <v>894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IFERROR(__xludf.DUMMYFUNCTION("IMPORTRANGE(""https://docs.google.com/spreadsheets/d/1IYY_tgx_IHuhSq3AJ5eI5OnqOPBNLWSHKh2a30DoXe8/edit?usp=sharing"",""นราธิวาส!I380"")"),0)</f>
        <v>0</v>
      </c>
      <c r="J485" s="195">
        <f ca="1">IFERROR(__xludf.DUMMYFUNCTION("IMPORTRANGE(""https://docs.google.com/spreadsheets/d/1IYY_tgx_IHuhSq3AJ5eI5OnqOPBNLWSHKh2a30DoXe8/edit?usp=sharing"",""นราธิวาส!J380"")"),0)</f>
        <v>0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IFERROR(__xludf.DUMMYFUNCTION("IMPORTRANGE(""https://docs.google.com/spreadsheets/d/1IYY_tgx_IHuhSq3AJ5eI5OnqOPBNLWSHKh2a30DoXe8/edit?usp=sharing"",""นราธิวาส!I381"")"),0)</f>
        <v>0</v>
      </c>
      <c r="J486" s="195">
        <f ca="1">IFERROR(__xludf.DUMMYFUNCTION("IMPORTRANGE(""https://docs.google.com/spreadsheets/d/1IYY_tgx_IHuhSq3AJ5eI5OnqOPBNLWSHKh2a30DoXe8/edit?usp=sharing"",""นราธิวาส!J381"")"),0)</f>
        <v>0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IFERROR(__xludf.DUMMYFUNCTION("IMPORTRANGE(""https://docs.google.com/spreadsheets/d/1IYY_tgx_IHuhSq3AJ5eI5OnqOPBNLWSHKh2a30DoXe8/edit?usp=sharing"",""นราธิวาส!I384"")"),0)</f>
        <v>0</v>
      </c>
      <c r="J489" s="195">
        <f ca="1">IFERROR(__xludf.DUMMYFUNCTION("IMPORTRANGE(""https://docs.google.com/spreadsheets/d/1IYY_tgx_IHuhSq3AJ5eI5OnqOPBNLWSHKh2a30DoXe8/edit?usp=sharing"",""นราธิวาส!J384"")"),21)</f>
        <v>21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IFERROR(__xludf.DUMMYFUNCTION("IMPORTRANGE(""https://docs.google.com/spreadsheets/d/1IYY_tgx_IHuhSq3AJ5eI5OnqOPBNLWSHKh2a30DoXe8/edit?usp=sharing"",""นราธิวาส!I385"")"),0)</f>
        <v>0</v>
      </c>
      <c r="J490" s="195">
        <f ca="1">IFERROR(__xludf.DUMMYFUNCTION("IMPORTRANGE(""https://docs.google.com/spreadsheets/d/1IYY_tgx_IHuhSq3AJ5eI5OnqOPBNLWSHKh2a30DoXe8/edit?usp=sharing"",""นราธิวาส!J385"")"),8)</f>
        <v>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IFERROR(__xludf.DUMMYFUNCTION("IMPORTRANGE(""https://docs.google.com/spreadsheets/d/1IYY_tgx_IHuhSq3AJ5eI5OnqOPBNLWSHKh2a30DoXe8/edit?usp=sharing"",""นราธิวาส!I386"")"),0)</f>
        <v>0</v>
      </c>
      <c r="J491" s="195">
        <f ca="1">IFERROR(__xludf.DUMMYFUNCTION("IMPORTRANGE(""https://docs.google.com/spreadsheets/d/1IYY_tgx_IHuhSq3AJ5eI5OnqOPBNLWSHKh2a30DoXe8/edit?usp=sharing"",""นราธิวาส!J386"")"),0)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IFERROR(__xludf.DUMMYFUNCTION("IMPORTRANGE(""https://docs.google.com/spreadsheets/d/1IYY_tgx_IHuhSq3AJ5eI5OnqOPBNLWSHKh2a30DoXe8/edit?usp=sharing"",""นราธิวาส!I387"")"),0)</f>
        <v>0</v>
      </c>
      <c r="J492" s="195">
        <f ca="1">IFERROR(__xludf.DUMMYFUNCTION("IMPORTRANGE(""https://docs.google.com/spreadsheets/d/1IYY_tgx_IHuhSq3AJ5eI5OnqOPBNLWSHKh2a30DoXe8/edit?usp=sharing"",""นราธิวาส!J387"")"),0)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IFERROR(__xludf.DUMMYFUNCTION("IMPORTRANGE(""https://docs.google.com/spreadsheets/d/1IYY_tgx_IHuhSq3AJ5eI5OnqOPBNLWSHKh2a30DoXe8/edit?usp=sharing"",""นราธิวาส!I388"")"),0)</f>
        <v>0</v>
      </c>
      <c r="J493" s="195">
        <f ca="1">IFERROR(__xludf.DUMMYFUNCTION("IMPORTRANGE(""https://docs.google.com/spreadsheets/d/1IYY_tgx_IHuhSq3AJ5eI5OnqOPBNLWSHKh2a30DoXe8/edit?usp=sharing"",""นราธิวาส!J388"")"),0)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6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7">
        <f t="shared" ca="1" si="116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8">
        <f t="shared" ca="1" si="116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IFERROR(__xludf.DUMMYFUNCTION("IMPORTRANGE(""https://docs.google.com/spreadsheets/d/1IYY_tgx_IHuhSq3AJ5eI5OnqOPBNLWSHKh2a30DoXe8/edit?usp=sharing"",""นราธิวาส!I395"")"),0)</f>
        <v>0</v>
      </c>
      <c r="J500" s="166">
        <f ca="1">IFERROR(__xludf.DUMMYFUNCTION("IMPORTRANGE(""https://docs.google.com/spreadsheets/d/1IYY_tgx_IHuhSq3AJ5eI5OnqOPBNLWSHKh2a30DoXe8/edit?usp=sharing"",""นราธิวาส!J395"")"),0)</f>
        <v>0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IFERROR(__xludf.DUMMYFUNCTION("IMPORTRANGE(""https://docs.google.com/spreadsheets/d/1IYY_tgx_IHuhSq3AJ5eI5OnqOPBNLWSHKh2a30DoXe8/edit?usp=sharing"",""นราธิวาส!I396"")"),0)</f>
        <v>0</v>
      </c>
      <c r="J501" s="166">
        <f ca="1">IFERROR(__xludf.DUMMYFUNCTION("IMPORTRANGE(""https://docs.google.com/spreadsheets/d/1IYY_tgx_IHuhSq3AJ5eI5OnqOPBNLWSHKh2a30DoXe8/edit?usp=sharing"",""นราธิวาส!J396"")"),0)</f>
        <v>0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IFERROR(__xludf.DUMMYFUNCTION("IMPORTRANGE(""https://docs.google.com/spreadsheets/d/1IYY_tgx_IHuhSq3AJ5eI5OnqOPBNLWSHKh2a30DoXe8/edit?usp=sharing"",""นราธิวาส!I397"")"),0)</f>
        <v>0</v>
      </c>
      <c r="J502" s="195">
        <f ca="1">IFERROR(__xludf.DUMMYFUNCTION("IMPORTRANGE(""https://docs.google.com/spreadsheets/d/1IYY_tgx_IHuhSq3AJ5eI5OnqOPBNLWSHKh2a30DoXe8/edit?usp=sharing"",""นราธิวาส!J397"")"),0)</f>
        <v>0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IFERROR(__xludf.DUMMYFUNCTION("IMPORTRANGE(""https://docs.google.com/spreadsheets/d/1IYY_tgx_IHuhSq3AJ5eI5OnqOPBNLWSHKh2a30DoXe8/edit?usp=sharing"",""นราธิวาส!I398"")"),0)</f>
        <v>0</v>
      </c>
      <c r="J503" s="204">
        <f ca="1">IFERROR(__xludf.DUMMYFUNCTION("IMPORTRANGE(""https://docs.google.com/spreadsheets/d/1IYY_tgx_IHuhSq3AJ5eI5OnqOPBNLWSHKh2a30DoXe8/edit?usp=sharing"",""นราธิวาส!J398"")"),0)</f>
        <v>0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IFERROR(__xludf.DUMMYFUNCTION("IMPORTRANGE(""https://docs.google.com/spreadsheets/d/1IYY_tgx_IHuhSq3AJ5eI5OnqOPBNLWSHKh2a30DoXe8/edit?usp=sharing"",""นราธิวาส!I399"")"),0)</f>
        <v>0</v>
      </c>
      <c r="J504" s="195">
        <f ca="1">IFERROR(__xludf.DUMMYFUNCTION("IMPORTRANGE(""https://docs.google.com/spreadsheets/d/1IYY_tgx_IHuhSq3AJ5eI5OnqOPBNLWSHKh2a30DoXe8/edit?usp=sharing"",""นราธิวาส!J399"")"),0)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IFERROR(__xludf.DUMMYFUNCTION("IMPORTRANGE(""https://docs.google.com/spreadsheets/d/1IYY_tgx_IHuhSq3AJ5eI5OnqOPBNLWSHKh2a30DoXe8/edit?usp=sharing"",""นราธิวาส!I400"")"),0)</f>
        <v>0</v>
      </c>
      <c r="J505" s="204">
        <f ca="1">IFERROR(__xludf.DUMMYFUNCTION("IMPORTRANGE(""https://docs.google.com/spreadsheets/d/1IYY_tgx_IHuhSq3AJ5eI5OnqOPBNLWSHKh2a30DoXe8/edit?usp=sharing"",""นราธิวาส!J400"")"),0)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IFERROR(__xludf.DUMMYFUNCTION("IMPORTRANGE(""https://docs.google.com/spreadsheets/d/1IYY_tgx_IHuhSq3AJ5eI5OnqOPBNLWSHKh2a30DoXe8/edit?usp=sharing"",""นราธิวาส!I401"")"),0)</f>
        <v>0</v>
      </c>
      <c r="J506" s="195">
        <f ca="1">IFERROR(__xludf.DUMMYFUNCTION("IMPORTRANGE(""https://docs.google.com/spreadsheets/d/1IYY_tgx_IHuhSq3AJ5eI5OnqOPBNLWSHKh2a30DoXe8/edit?usp=sharing"",""นราธิวาส!J401"")"),0)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IFERROR(__xludf.DUMMYFUNCTION("IMPORTRANGE(""https://docs.google.com/spreadsheets/d/1IYY_tgx_IHuhSq3AJ5eI5OnqOPBNLWSHKh2a30DoXe8/edit?usp=sharing"",""นราธิวาส!I402"")"),0)</f>
        <v>0</v>
      </c>
      <c r="J507" s="204">
        <f ca="1">IFERROR(__xludf.DUMMYFUNCTION("IMPORTRANGE(""https://docs.google.com/spreadsheets/d/1IYY_tgx_IHuhSq3AJ5eI5OnqOPBNLWSHKh2a30DoXe8/edit?usp=sharing"",""นราธิวาส!J402"")"),0)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IFERROR(__xludf.DUMMYFUNCTION("IMPORTRANGE(""https://docs.google.com/spreadsheets/d/1IYY_tgx_IHuhSq3AJ5eI5OnqOPBNLWSHKh2a30DoXe8/edit?usp=sharing"",""นราธิวาส!I403"")"),0)</f>
        <v>0</v>
      </c>
      <c r="J508" s="166">
        <f ca="1">IFERROR(__xludf.DUMMYFUNCTION("IMPORTRANGE(""https://docs.google.com/spreadsheets/d/1IYY_tgx_IHuhSq3AJ5eI5OnqOPBNLWSHKh2a30DoXe8/edit?usp=sharing"",""นราธิวาส!J403"")"),0)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IFERROR(__xludf.DUMMYFUNCTION("IMPORTRANGE(""https://docs.google.com/spreadsheets/d/1IYY_tgx_IHuhSq3AJ5eI5OnqOPBNLWSHKh2a30DoXe8/edit?usp=sharing"",""นราธิวาส!I404"")"),0)</f>
        <v>0</v>
      </c>
      <c r="J509" s="166">
        <f ca="1">IFERROR(__xludf.DUMMYFUNCTION("IMPORTRANGE(""https://docs.google.com/spreadsheets/d/1IYY_tgx_IHuhSq3AJ5eI5OnqOPBNLWSHKh2a30DoXe8/edit?usp=sharing"",""นราธิวาส!J404"")"),0)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IFERROR(__xludf.DUMMYFUNCTION("IMPORTRANGE(""https://docs.google.com/spreadsheets/d/1IYY_tgx_IHuhSq3AJ5eI5OnqOPBNLWSHKh2a30DoXe8/edit?usp=sharing"",""นราธิวาส!I405"")"),0)</f>
        <v>0</v>
      </c>
      <c r="J510" s="204">
        <f ca="1">IFERROR(__xludf.DUMMYFUNCTION("IMPORTRANGE(""https://docs.google.com/spreadsheets/d/1IYY_tgx_IHuhSq3AJ5eI5OnqOPBNLWSHKh2a30DoXe8/edit?usp=sharing"",""นราธิวาส!J405"")"),0)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IFERROR(__xludf.DUMMYFUNCTION("IMPORTRANGE(""https://docs.google.com/spreadsheets/d/1IYY_tgx_IHuhSq3AJ5eI5OnqOPBNLWSHKh2a30DoXe8/edit?usp=sharing"",""นราธิวาส!I406"")"),0)</f>
        <v>0</v>
      </c>
      <c r="J511" s="204">
        <f ca="1">IFERROR(__xludf.DUMMYFUNCTION("IMPORTRANGE(""https://docs.google.com/spreadsheets/d/1IYY_tgx_IHuhSq3AJ5eI5OnqOPBNLWSHKh2a30DoXe8/edit?usp=sharing"",""นราธิวาส!J406"")"),0)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IFERROR(__xludf.DUMMYFUNCTION("IMPORTRANGE(""https://docs.google.com/spreadsheets/d/1IYY_tgx_IHuhSq3AJ5eI5OnqOPBNLWSHKh2a30DoXe8/edit?usp=sharing"",""นราธิวาส!I407"")"),0)</f>
        <v>0</v>
      </c>
      <c r="J512" s="204">
        <f ca="1">IFERROR(__xludf.DUMMYFUNCTION("IMPORTRANGE(""https://docs.google.com/spreadsheets/d/1IYY_tgx_IHuhSq3AJ5eI5OnqOPBNLWSHKh2a30DoXe8/edit?usp=sharing"",""นราธิวาส!J407"")"),0)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IFERROR(__xludf.DUMMYFUNCTION("IMPORTRANGE(""https://docs.google.com/spreadsheets/d/1IYY_tgx_IHuhSq3AJ5eI5OnqOPBNLWSHKh2a30DoXe8/edit?usp=sharing"",""นราธิวาส!I408"")"),0)</f>
        <v>0</v>
      </c>
      <c r="J513" s="204">
        <f ca="1">IFERROR(__xludf.DUMMYFUNCTION("IMPORTRANGE(""https://docs.google.com/spreadsheets/d/1IYY_tgx_IHuhSq3AJ5eI5OnqOPBNLWSHKh2a30DoXe8/edit?usp=sharing"",""นราธิวาส!J408"")"),0)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IFERROR(__xludf.DUMMYFUNCTION("IMPORTRANGE(""https://docs.google.com/spreadsheets/d/1IYY_tgx_IHuhSq3AJ5eI5OnqOPBNLWSHKh2a30DoXe8/edit?usp=sharing"",""นราธิวาส!I409"")"),0)</f>
        <v>0</v>
      </c>
      <c r="J514" s="204">
        <f ca="1">IFERROR(__xludf.DUMMYFUNCTION("IMPORTRANGE(""https://docs.google.com/spreadsheets/d/1IYY_tgx_IHuhSq3AJ5eI5OnqOPBNLWSHKh2a30DoXe8/edit?usp=sharing"",""นราธิวาส!J409"")"),0)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IFERROR(__xludf.DUMMYFUNCTION("IMPORTRANGE(""https://docs.google.com/spreadsheets/d/1IYY_tgx_IHuhSq3AJ5eI5OnqOPBNLWSHKh2a30DoXe8/edit?usp=sharing"",""นราธิวาส!I410"")"),0)</f>
        <v>0</v>
      </c>
      <c r="J515" s="204">
        <f ca="1">IFERROR(__xludf.DUMMYFUNCTION("IMPORTRANGE(""https://docs.google.com/spreadsheets/d/1IYY_tgx_IHuhSq3AJ5eI5OnqOPBNLWSHKh2a30DoXe8/edit?usp=sharing"",""นราธิวาส!J410"")"),0)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IFERROR(__xludf.DUMMYFUNCTION("IMPORTRANGE(""https://docs.google.com/spreadsheets/d/1IYY_tgx_IHuhSq3AJ5eI5OnqOPBNLWSHKh2a30DoXe8/edit?usp=sharing"",""นราธิวาส!I411"")"),0)</f>
        <v>0</v>
      </c>
      <c r="J516" s="273">
        <f ca="1">IFERROR(__xludf.DUMMYFUNCTION("IMPORTRANGE(""https://docs.google.com/spreadsheets/d/1IYY_tgx_IHuhSq3AJ5eI5OnqOPBNLWSHKh2a30DoXe8/edit?usp=sharing"",""นราธิวาส!J411"")"),0)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IFERROR(__xludf.DUMMYFUNCTION("IMPORTRANGE(""https://docs.google.com/spreadsheets/d/1IYY_tgx_IHuhSq3AJ5eI5OnqOPBNLWSHKh2a30DoXe8/edit?usp=sharing"",""นราธิวาส!I414"")"),0)</f>
        <v>0</v>
      </c>
      <c r="J519" s="194">
        <f ca="1">IFERROR(__xludf.DUMMYFUNCTION("IMPORTRANGE(""https://docs.google.com/spreadsheets/d/1IYY_tgx_IHuhSq3AJ5eI5OnqOPBNLWSHKh2a30DoXe8/edit?usp=sharing"",""นราธิวาส!J414"")"),0)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IFERROR(__xludf.DUMMYFUNCTION("IMPORTRANGE(""https://docs.google.com/spreadsheets/d/1IYY_tgx_IHuhSq3AJ5eI5OnqOPBNLWSHKh2a30DoXe8/edit?usp=sharing"",""นราธิวาส!I415"")"),0)</f>
        <v>0</v>
      </c>
      <c r="J520" s="194">
        <f ca="1">IFERROR(__xludf.DUMMYFUNCTION("IMPORTRANGE(""https://docs.google.com/spreadsheets/d/1IYY_tgx_IHuhSq3AJ5eI5OnqOPBNLWSHKh2a30DoXe8/edit?usp=sharing"",""นราธิวาส!J415"")"),0)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IFERROR(__xludf.DUMMYFUNCTION("IMPORTRANGE(""https://docs.google.com/spreadsheets/d/1IYY_tgx_IHuhSq3AJ5eI5OnqOPBNLWSHKh2a30DoXe8/edit?usp=sharing"",""นราธิวาส!I416"")"),0)</f>
        <v>0</v>
      </c>
      <c r="J521" s="194">
        <f ca="1">IFERROR(__xludf.DUMMYFUNCTION("IMPORTRANGE(""https://docs.google.com/spreadsheets/d/1IYY_tgx_IHuhSq3AJ5eI5OnqOPBNLWSHKh2a30DoXe8/edit?usp=sharing"",""นราธิวาส!J416"")"),0)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IFERROR(__xludf.DUMMYFUNCTION("IMPORTRANGE(""https://docs.google.com/spreadsheets/d/1IYY_tgx_IHuhSq3AJ5eI5OnqOPBNLWSHKh2a30DoXe8/edit?usp=sharing"",""นราธิวาส!I417"")"),0)</f>
        <v>0</v>
      </c>
      <c r="J522" s="194">
        <f ca="1">IFERROR(__xludf.DUMMYFUNCTION("IMPORTRANGE(""https://docs.google.com/spreadsheets/d/1IYY_tgx_IHuhSq3AJ5eI5OnqOPBNLWSHKh2a30DoXe8/edit?usp=sharing"",""นราธิวาส!J417"")"),0)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IFERROR(__xludf.DUMMYFUNCTION("IMPORTRANGE(""https://docs.google.com/spreadsheets/d/1IYY_tgx_IHuhSq3AJ5eI5OnqOPBNLWSHKh2a30DoXe8/edit?usp=sharing"",""นราธิวาส!I418"")"),0)</f>
        <v>0</v>
      </c>
      <c r="J523" s="194">
        <f ca="1">IFERROR(__xludf.DUMMYFUNCTION("IMPORTRANGE(""https://docs.google.com/spreadsheets/d/1IYY_tgx_IHuhSq3AJ5eI5OnqOPBNLWSHKh2a30DoXe8/edit?usp=sharing"",""นราธิวาส!J418"")"),0)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IFERROR(__xludf.DUMMYFUNCTION("IMPORTRANGE(""https://docs.google.com/spreadsheets/d/1IYY_tgx_IHuhSq3AJ5eI5OnqOPBNLWSHKh2a30DoXe8/edit?usp=sharing"",""นราธิวาส!I419"")"),0)</f>
        <v>0</v>
      </c>
      <c r="J524" s="194">
        <f ca="1">IFERROR(__xludf.DUMMYFUNCTION("IMPORTRANGE(""https://docs.google.com/spreadsheets/d/1IYY_tgx_IHuhSq3AJ5eI5OnqOPBNLWSHKh2a30DoXe8/edit?usp=sharing"",""นราธิวาส!J419"")"),0)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IFERROR(__xludf.DUMMYFUNCTION("IMPORTRANGE(""https://docs.google.com/spreadsheets/d/1IYY_tgx_IHuhSq3AJ5eI5OnqOPBNLWSHKh2a30DoXe8/edit?usp=sharing"",""นราธิวาส!I422"")"),0)</f>
        <v>0</v>
      </c>
      <c r="J527" s="204">
        <f ca="1">IFERROR(__xludf.DUMMYFUNCTION("IMPORTRANGE(""https://docs.google.com/spreadsheets/d/1IYY_tgx_IHuhSq3AJ5eI5OnqOPBNLWSHKh2a30DoXe8/edit?usp=sharing"",""นราธิวาส!J422"")"),0)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IFERROR(__xludf.DUMMYFUNCTION("IMPORTRANGE(""https://docs.google.com/spreadsheets/d/1IYY_tgx_IHuhSq3AJ5eI5OnqOPBNLWSHKh2a30DoXe8/edit?usp=sharing"",""นราธิวาส!I423"")"),0)</f>
        <v>0</v>
      </c>
      <c r="J528" s="204">
        <f ca="1">IFERROR(__xludf.DUMMYFUNCTION("IMPORTRANGE(""https://docs.google.com/spreadsheets/d/1IYY_tgx_IHuhSq3AJ5eI5OnqOPBNLWSHKh2a30DoXe8/edit?usp=sharing"",""นราธิวาส!J423"")"),0)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IFERROR(__xludf.DUMMYFUNCTION("IMPORTRANGE(""https://docs.google.com/spreadsheets/d/1IYY_tgx_IHuhSq3AJ5eI5OnqOPBNLWSHKh2a30DoXe8/edit?usp=sharing"",""นราธิวาส!I424"")"),0)</f>
        <v>0</v>
      </c>
      <c r="J529" s="204">
        <f ca="1">IFERROR(__xludf.DUMMYFUNCTION("IMPORTRANGE(""https://docs.google.com/spreadsheets/d/1IYY_tgx_IHuhSq3AJ5eI5OnqOPBNLWSHKh2a30DoXe8/edit?usp=sharing"",""นราธิวาส!J424"")"),0)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IFERROR(__xludf.DUMMYFUNCTION("IMPORTRANGE(""https://docs.google.com/spreadsheets/d/1IYY_tgx_IHuhSq3AJ5eI5OnqOPBNLWSHKh2a30DoXe8/edit?usp=sharing"",""นราธิวาส!I425"")"),0)</f>
        <v>0</v>
      </c>
      <c r="J530" s="204">
        <f ca="1">IFERROR(__xludf.DUMMYFUNCTION("IMPORTRANGE(""https://docs.google.com/spreadsheets/d/1IYY_tgx_IHuhSq3AJ5eI5OnqOPBNLWSHKh2a30DoXe8/edit?usp=sharing"",""นราธิวาส!J425"")"),0)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IFERROR(__xludf.DUMMYFUNCTION("IMPORTRANGE(""https://docs.google.com/spreadsheets/d/1IYY_tgx_IHuhSq3AJ5eI5OnqOPBNLWSHKh2a30DoXe8/edit?usp=sharing"",""นราธิวาส!I426"")"),0)</f>
        <v>0</v>
      </c>
      <c r="J531" s="204">
        <f ca="1">IFERROR(__xludf.DUMMYFUNCTION("IMPORTRANGE(""https://docs.google.com/spreadsheets/d/1IYY_tgx_IHuhSq3AJ5eI5OnqOPBNLWSHKh2a30DoXe8/edit?usp=sharing"",""นราธิวาส!J426"")"),0)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7">+IF(L533&gt;0,N533*100/L533,0)</f>
        <v>100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IFERROR(__xludf.DUMMYFUNCTION("IMPORTRANGE(""https://docs.google.com/spreadsheets/d/1IYY_tgx_IHuhSq3AJ5eI5OnqOPBNLWSHKh2a30DoXe8/edit?usp=sharing"",""นราธิวาส!L429"")"),0)</f>
        <v>0</v>
      </c>
      <c r="M534" s="168"/>
      <c r="N534" s="175">
        <f ca="1">IFERROR(__xludf.DUMMYFUNCTION("IMPORTRANGE(""https://docs.google.com/spreadsheets/d/1IYY_tgx_IHuhSq3AJ5eI5OnqOPBNLWSHKh2a30DoXe8/edit?usp=sharing"",""นราธิวาส!M429"")"),0)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5">
        <f ca="1">IFERROR(__xludf.DUMMYFUNCTION("IMPORTRANGE(""https://docs.google.com/spreadsheets/d/1IYY_tgx_IHuhSq3AJ5eI5OnqOPBNLWSHKh2a30DoXe8/edit?usp=sharing"",""นราธิวาส!M430"")"),32640)</f>
        <v>32640</v>
      </c>
      <c r="O535" s="175">
        <f t="shared" ca="1" si="117"/>
        <v>100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IFERROR(__xludf.DUMMYFUNCTION("IMPORTRANGE(""https://docs.google.com/spreadsheets/d/1IYY_tgx_IHuhSq3AJ5eI5OnqOPBNLWSHKh2a30DoXe8/edit?usp=sharing"",""นราธิวาส!L431"")"),0)</f>
        <v>0</v>
      </c>
      <c r="M536" s="175"/>
      <c r="N536" s="175">
        <f ca="1">IFERROR(__xludf.DUMMYFUNCTION("IMPORTRANGE(""https://docs.google.com/spreadsheets/d/1IYY_tgx_IHuhSq3AJ5eI5OnqOPBNLWSHKh2a30DoXe8/edit?usp=sharing"",""นราธิวาส!M431"")"),0)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IFERROR(__xludf.DUMMYFUNCTION("IMPORTRANGE(""https://docs.google.com/spreadsheets/d/1IYY_tgx_IHuhSq3AJ5eI5OnqOPBNLWSHKh2a30DoXe8/edit?usp=sharing"",""นราธิวาส!L432"")"),32640)</f>
        <v>32640</v>
      </c>
      <c r="M537" s="175"/>
      <c r="N537" s="175">
        <f ca="1">IFERROR(__xludf.DUMMYFUNCTION("IMPORTRANGE(""https://docs.google.com/spreadsheets/d/1IYY_tgx_IHuhSq3AJ5eI5OnqOPBNLWSHKh2a30DoXe8/edit?usp=sharing"",""นราธิวาส!M432"")"),32640)</f>
        <v>32640</v>
      </c>
      <c r="O537" s="175">
        <f t="shared" ca="1" si="117"/>
        <v>100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IFERROR(__xludf.DUMMYFUNCTION("IMPORTRANGE(""https://docs.google.com/spreadsheets/d/1IYY_tgx_IHuhSq3AJ5eI5OnqOPBNLWSHKh2a30DoXe8/edit?usp=sharing"",""นราธิวาส!J438"")"),0)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IFERROR(__xludf.DUMMYFUNCTION("IMPORTRANGE(""https://docs.google.com/spreadsheets/d/1IYY_tgx_IHuhSq3AJ5eI5OnqOPBNLWSHKh2a30DoXe8/edit?usp=sharing"",""นราธิวาส!J439"")"),1)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IFERROR(__xludf.DUMMYFUNCTION("IMPORTRANGE(""https://docs.google.com/spreadsheets/d/1IYY_tgx_IHuhSq3AJ5eI5OnqOPBNLWSHKh2a30DoXe8/edit?usp=sharing"",""นราธิวาส!J440"")"),1)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IFERROR(__xludf.DUMMYFUNCTION("IMPORTRANGE(""https://docs.google.com/spreadsheets/d/1IYY_tgx_IHuhSq3AJ5eI5OnqOPBNLWSHKh2a30DoXe8/edit?usp=sharing"",""นราธิวาส!J441"")"),1)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IFERROR(__xludf.DUMMYFUNCTION("IMPORTRANGE(""https://docs.google.com/spreadsheets/d/1IYY_tgx_IHuhSq3AJ5eI5OnqOPBNLWSHKh2a30DoXe8/edit?usp=sharing"",""นราธิวาส!I442"")"),20)</f>
        <v>20</v>
      </c>
      <c r="J547" s="195">
        <f ca="1">IFERROR(__xludf.DUMMYFUNCTION("IMPORTRANGE(""https://docs.google.com/spreadsheets/d/1IYY_tgx_IHuhSq3AJ5eI5OnqOPBNLWSHKh2a30DoXe8/edit?usp=sharing"",""นราธิวาส!J442"")"),20)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IFERROR(__xludf.DUMMYFUNCTION("IMPORTRANGE(""https://docs.google.com/spreadsheets/d/1IYY_tgx_IHuhSq3AJ5eI5OnqOPBNLWSHKh2a30DoXe8/edit?usp=sharing"",""นราธิวาส!J166"")"),0)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IFERROR(__xludf.DUMMYFUNCTION("IMPORTRANGE(""https://docs.google.com/spreadsheets/d/1IYY_tgx_IHuhSq3AJ5eI5OnqOPBNLWSHKh2a30DoXe8/edit?usp=sharing"",""นราธิวาส!J444"")"),0)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IFERROR(__xludf.DUMMYFUNCTION("IMPORTRANGE(""https://docs.google.com/spreadsheets/d/1IYY_tgx_IHuhSq3AJ5eI5OnqOPBNLWSHKh2a30DoXe8/edit?usp=sharing"",""นราธิวาส!L447"")"),0)</f>
        <v>0</v>
      </c>
      <c r="M552" s="168"/>
      <c r="N552" s="175">
        <f ca="1">IFERROR(__xludf.DUMMYFUNCTION("IMPORTRANGE(""https://docs.google.com/spreadsheets/d/1IYY_tgx_IHuhSq3AJ5eI5OnqOPBNLWSHKh2a30DoXe8/edit?usp=sharing"",""นราธิวาส!M447"")"),0)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5">
        <f ca="1">IFERROR(__xludf.DUMMYFUNCTION("IMPORTRANGE(""https://docs.google.com/spreadsheets/d/1IYY_tgx_IHuhSq3AJ5eI5OnqOPBNLWSHKh2a30DoXe8/edit?usp=sharing"",""นราธิวาส!M448"")"),0)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IFERROR(__xludf.DUMMYFUNCTION("IMPORTRANGE(""https://docs.google.com/spreadsheets/d/1IYY_tgx_IHuhSq3AJ5eI5OnqOPBNLWSHKh2a30DoXe8/edit?usp=sharing"",""นราธิวาส!L449"")"),0)</f>
        <v>0</v>
      </c>
      <c r="M554" s="175"/>
      <c r="N554" s="175">
        <f ca="1">IFERROR(__xludf.DUMMYFUNCTION("IMPORTRANGE(""https://docs.google.com/spreadsheets/d/1IYY_tgx_IHuhSq3AJ5eI5OnqOPBNLWSHKh2a30DoXe8/edit?usp=sharing"",""นราธิวาส!M449"")"),0)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IFERROR(__xludf.DUMMYFUNCTION("IMPORTRANGE(""https://docs.google.com/spreadsheets/d/1IYY_tgx_IHuhSq3AJ5eI5OnqOPBNLWSHKh2a30DoXe8/edit?usp=sharing"",""นราธิวาส!L450"")"),0)</f>
        <v>0</v>
      </c>
      <c r="M555" s="175"/>
      <c r="N555" s="175">
        <f ca="1">IFERROR(__xludf.DUMMYFUNCTION("IMPORTRANGE(""https://docs.google.com/spreadsheets/d/1IYY_tgx_IHuhSq3AJ5eI5OnqOPBNLWSHKh2a30DoXe8/edit?usp=sharing"",""นราธิวาส!M450"")"),0)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IFERROR(__xludf.DUMMYFUNCTION("IMPORTRANGE(""https://docs.google.com/spreadsheets/d/1IYY_tgx_IHuhSq3AJ5eI5OnqOPBNLWSHKh2a30DoXe8/edit?usp=sharing"",""นราธิวาส!M451"")"),0)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IFERROR(__xludf.DUMMYFUNCTION("IMPORTRANGE(""https://docs.google.com/spreadsheets/d/1IYY_tgx_IHuhSq3AJ5eI5OnqOPBNLWSHKh2a30DoXe8/edit?usp=sharing"",""นราธิวาส!M452"")"),0)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IFERROR(__xludf.DUMMYFUNCTION("IMPORTRANGE(""https://docs.google.com/spreadsheets/d/1IYY_tgx_IHuhSq3AJ5eI5OnqOPBNLWSHKh2a30DoXe8/edit?usp=sharing"",""นราธิวาส!M453"")"),0)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IFERROR(__xludf.DUMMYFUNCTION("IMPORTRANGE(""https://docs.google.com/spreadsheets/d/1IYY_tgx_IHuhSq3AJ5eI5OnqOPBNLWSHKh2a30DoXe8/edit?usp=sharing"",""นราธิวาส!M454"")"),0)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IFERROR(__xludf.DUMMYFUNCTION("IMPORTRANGE(""https://docs.google.com/spreadsheets/d/1IYY_tgx_IHuhSq3AJ5eI5OnqOPBNLWSHKh2a30DoXe8/edit?usp=sharing"",""นราธิวาส!I455"")"),0)</f>
        <v>0</v>
      </c>
      <c r="J560" s="166">
        <f ca="1">IFERROR(__xludf.DUMMYFUNCTION("IMPORTRANGE(""https://docs.google.com/spreadsheets/d/1IYY_tgx_IHuhSq3AJ5eI5OnqOPBNLWSHKh2a30DoXe8/edit?usp=sharing"",""นราธิวาส!J455"")"),0)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IFERROR(__xludf.DUMMYFUNCTION("IMPORTRANGE(""https://docs.google.com/spreadsheets/d/1IYY_tgx_IHuhSq3AJ5eI5OnqOPBNLWSHKh2a30DoXe8/edit?usp=sharing"",""นราธิวาส!I456"")"),0)</f>
        <v>0</v>
      </c>
      <c r="J561" s="210">
        <f ca="1">IFERROR(__xludf.DUMMYFUNCTION("IMPORTRANGE(""https://docs.google.com/spreadsheets/d/1IYY_tgx_IHuhSq3AJ5eI5OnqOPBNLWSHKh2a30DoXe8/edit?usp=sharing"",""นราธิวาส!J456"")"),0)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IFERROR(__xludf.DUMMYFUNCTION("IMPORTRANGE(""https://docs.google.com/spreadsheets/d/1IYY_tgx_IHuhSq3AJ5eI5OnqOPBNLWSHKh2a30DoXe8/edit?usp=sharing"",""นราธิวาส!J459"")"),413)</f>
        <v>413</v>
      </c>
      <c r="K564" s="378">
        <f ca="1">IF(I564&gt;0,J564*100/I564,0)</f>
        <v>275.33333333333331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IFERROR(__xludf.DUMMYFUNCTION("IMPORTRANGE(""https://docs.google.com/spreadsheets/d/1IYY_tgx_IHuhSq3AJ5eI5OnqOPBNLWSHKh2a30DoXe8/edit?usp=sharing"",""นราธิวาส!M459"")"),69240)</f>
        <v>69240</v>
      </c>
      <c r="O564" s="379">
        <f t="shared" ref="O564:O568" ca="1" si="121">+IF(L564&gt;0,N564*100/L564,0)</f>
        <v>57.355864811133202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IFERROR(__xludf.DUMMYFUNCTION("IMPORTRANGE(""https://docs.google.com/spreadsheets/d/1IYY_tgx_IHuhSq3AJ5eI5OnqOPBNLWSHKh2a30DoXe8/edit?usp=sharing"",""นราธิวาส!L460"")"),0)</f>
        <v>0</v>
      </c>
      <c r="M565" s="168"/>
      <c r="N565" s="175">
        <f ca="1">IFERROR(__xludf.DUMMYFUNCTION("IMPORTRANGE(""https://docs.google.com/spreadsheets/d/1IYY_tgx_IHuhSq3AJ5eI5OnqOPBNLWSHKh2a30DoXe8/edit?usp=sharing"",""นราธิวาส!M460"")"),0)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5">
        <f ca="1">IFERROR(__xludf.DUMMYFUNCTION("IMPORTRANGE(""https://docs.google.com/spreadsheets/d/1IYY_tgx_IHuhSq3AJ5eI5OnqOPBNLWSHKh2a30DoXe8/edit?usp=sharing"",""นราธิวาส!M461"")"),69240)</f>
        <v>69240</v>
      </c>
      <c r="O566" s="175">
        <f t="shared" ca="1" si="121"/>
        <v>57.355864811133202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IFERROR(__xludf.DUMMYFUNCTION("IMPORTRANGE(""https://docs.google.com/spreadsheets/d/1IYY_tgx_IHuhSq3AJ5eI5OnqOPBNLWSHKh2a30DoXe8/edit?usp=sharing"",""นราธิวาส!L462"")"),0)</f>
        <v>0</v>
      </c>
      <c r="M567" s="175"/>
      <c r="N567" s="175">
        <f ca="1">IFERROR(__xludf.DUMMYFUNCTION("IMPORTRANGE(""https://docs.google.com/spreadsheets/d/1IYY_tgx_IHuhSq3AJ5eI5OnqOPBNLWSHKh2a30DoXe8/edit?usp=sharing"",""นราธิวาส!M462"")"),0)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IFERROR(__xludf.DUMMYFUNCTION("IMPORTRANGE(""https://docs.google.com/spreadsheets/d/1IYY_tgx_IHuhSq3AJ5eI5OnqOPBNLWSHKh2a30DoXe8/edit?usp=sharing"",""นราธิวาส!L463"")"),120720)</f>
        <v>120720</v>
      </c>
      <c r="M568" s="175"/>
      <c r="N568" s="175">
        <f ca="1">IFERROR(__xludf.DUMMYFUNCTION("IMPORTRANGE(""https://docs.google.com/spreadsheets/d/1IYY_tgx_IHuhSq3AJ5eI5OnqOPBNLWSHKh2a30DoXe8/edit?usp=sharing"",""นราธิวาส!M463"")"),69240)</f>
        <v>69240</v>
      </c>
      <c r="O568" s="175">
        <f t="shared" ca="1" si="121"/>
        <v>57.355864811133202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IFERROR(__xludf.DUMMYFUNCTION("IMPORTRANGE(""https://docs.google.com/spreadsheets/d/1IYY_tgx_IHuhSq3AJ5eI5OnqOPBNLWSHKh2a30DoXe8/edit?usp=sharing"",""นราธิวาส!M464"")"),0)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IFERROR(__xludf.DUMMYFUNCTION("IMPORTRANGE(""https://docs.google.com/spreadsheets/d/1IYY_tgx_IHuhSq3AJ5eI5OnqOPBNLWSHKh2a30DoXe8/edit?usp=sharing"",""นราธิวาส!M465"")"),0)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IFERROR(__xludf.DUMMYFUNCTION("IMPORTRANGE(""https://docs.google.com/spreadsheets/d/1IYY_tgx_IHuhSq3AJ5eI5OnqOPBNLWSHKh2a30DoXe8/edit?usp=sharing"",""นราธิวาส!M466"")"),51300)</f>
        <v>51300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IFERROR(__xludf.DUMMYFUNCTION("IMPORTRANGE(""https://docs.google.com/spreadsheets/d/1IYY_tgx_IHuhSq3AJ5eI5OnqOPBNLWSHKh2a30DoXe8/edit?usp=sharing"",""นราธิวาส!M467"")"),17940)</f>
        <v>17940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IFERROR(__xludf.DUMMYFUNCTION("IMPORTRANGE(""https://docs.google.com/spreadsheets/d/1IYY_tgx_IHuhSq3AJ5eI5OnqOPBNLWSHKh2a30DoXe8/edit?usp=sharing"",""นราธิวาส!J468"")"),413)</f>
        <v>413</v>
      </c>
      <c r="K573" s="208">
        <f ca="1">IF(I573&gt;0,J573*100/I573,0)</f>
        <v>275.33333333333331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IFERROR(__xludf.DUMMYFUNCTION("IMPORTRANGE(""https://docs.google.com/spreadsheets/d/1IYY_tgx_IHuhSq3AJ5eI5OnqOPBNLWSHKh2a30DoXe8/edit?usp=sharing"",""นราธิวาส!I470"")"),0)</f>
        <v>0</v>
      </c>
      <c r="J575" s="204">
        <f ca="1">IFERROR(__xludf.DUMMYFUNCTION("IMPORTRANGE(""https://docs.google.com/spreadsheets/d/1IYY_tgx_IHuhSq3AJ5eI5OnqOPBNLWSHKh2a30DoXe8/edit?usp=sharing"",""นราธิวาส!J470"")"),4)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IFERROR(__xludf.DUMMYFUNCTION("IMPORTRANGE(""https://docs.google.com/spreadsheets/d/1IYY_tgx_IHuhSq3AJ5eI5OnqOPBNLWSHKh2a30DoXe8/edit?usp=sharing"",""นราธิวาส!I471"")"),0)</f>
        <v>0</v>
      </c>
      <c r="J576" s="204">
        <f ca="1">IFERROR(__xludf.DUMMYFUNCTION("IMPORTRANGE(""https://docs.google.com/spreadsheets/d/1IYY_tgx_IHuhSq3AJ5eI5OnqOPBNLWSHKh2a30DoXe8/edit?usp=sharing"",""นราธิวาส!J471"")"),154)</f>
        <v>154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IFERROR(__xludf.DUMMYFUNCTION("IMPORTRANGE(""https://docs.google.com/spreadsheets/d/1IYY_tgx_IHuhSq3AJ5eI5OnqOPBNLWSHKh2a30DoXe8/edit?usp=sharing"",""นราธิวาส!I472"")"),0)</f>
        <v>0</v>
      </c>
      <c r="J577" s="195">
        <f ca="1">IFERROR(__xludf.DUMMYFUNCTION("IMPORTRANGE(""https://docs.google.com/spreadsheets/d/1IYY_tgx_IHuhSq3AJ5eI5OnqOPBNLWSHKh2a30DoXe8/edit?usp=sharing"",""นราธิวาส!J472"")"),259)</f>
        <v>259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IFERROR(__xludf.DUMMYFUNCTION("IMPORTRANGE(""https://docs.google.com/spreadsheets/d/1IYY_tgx_IHuhSq3AJ5eI5OnqOPBNLWSHKh2a30DoXe8/edit?usp=sharing"",""นราธิวาส!I473"")"),0)</f>
        <v>0</v>
      </c>
      <c r="J578" s="204">
        <f ca="1">IFERROR(__xludf.DUMMYFUNCTION("IMPORTRANGE(""https://docs.google.com/spreadsheets/d/1IYY_tgx_IHuhSq3AJ5eI5OnqOPBNLWSHKh2a30DoXe8/edit?usp=sharing"",""นราธิวาส!J473"")"),0)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IFERROR(__xludf.DUMMYFUNCTION("IMPORTRANGE(""https://docs.google.com/spreadsheets/d/1IYY_tgx_IHuhSq3AJ5eI5OnqOPBNLWSHKh2a30DoXe8/edit?usp=sharing"",""นราธิวาส!I474"")"),0)</f>
        <v>0</v>
      </c>
      <c r="J579" s="204">
        <f ca="1">IFERROR(__xludf.DUMMYFUNCTION("IMPORTRANGE(""https://docs.google.com/spreadsheets/d/1IYY_tgx_IHuhSq3AJ5eI5OnqOPBNLWSHKh2a30DoXe8/edit?usp=sharing"",""นราธิวาส!J474"")"),0)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IFERROR(__xludf.DUMMYFUNCTION("IMPORTRANGE(""https://docs.google.com/spreadsheets/d/1IYY_tgx_IHuhSq3AJ5eI5OnqOPBNLWSHKh2a30DoXe8/edit?usp=sharing"",""นราธิวาส!L476"")"),0)</f>
        <v>0</v>
      </c>
      <c r="M581" s="168"/>
      <c r="N581" s="175">
        <f ca="1">IFERROR(__xludf.DUMMYFUNCTION("IMPORTRANGE(""https://docs.google.com/spreadsheets/d/1IYY_tgx_IHuhSq3AJ5eI5OnqOPBNLWSHKh2a30DoXe8/edit?usp=sharing"",""นราธิวาส!M476"")"),0)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5">
        <f ca="1">IFERROR(__xludf.DUMMYFUNCTION("IMPORTRANGE(""https://docs.google.com/spreadsheets/d/1IYY_tgx_IHuhSq3AJ5eI5OnqOPBNLWSHKh2a30DoXe8/edit?usp=sharing"",""นราธิวาส!M477"")"),0)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IFERROR(__xludf.DUMMYFUNCTION("IMPORTRANGE(""https://docs.google.com/spreadsheets/d/1IYY_tgx_IHuhSq3AJ5eI5OnqOPBNLWSHKh2a30DoXe8/edit?usp=sharing"",""นราธิวาส!L478"")"),0)</f>
        <v>0</v>
      </c>
      <c r="M583" s="175"/>
      <c r="N583" s="175">
        <f ca="1">IFERROR(__xludf.DUMMYFUNCTION("IMPORTRANGE(""https://docs.google.com/spreadsheets/d/1IYY_tgx_IHuhSq3AJ5eI5OnqOPBNLWSHKh2a30DoXe8/edit?usp=sharing"",""นราธิวาส!M478"")"),0)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IFERROR(__xludf.DUMMYFUNCTION("IMPORTRANGE(""https://docs.google.com/spreadsheets/d/1IYY_tgx_IHuhSq3AJ5eI5OnqOPBNLWSHKh2a30DoXe8/edit?usp=sharing"",""นราธิวาส!L479"")"),0)</f>
        <v>0</v>
      </c>
      <c r="M584" s="175"/>
      <c r="N584" s="175">
        <f ca="1">IFERROR(__xludf.DUMMYFUNCTION("IMPORTRANGE(""https://docs.google.com/spreadsheets/d/1IYY_tgx_IHuhSq3AJ5eI5OnqOPBNLWSHKh2a30DoXe8/edit?usp=sharing"",""นราธิวาส!M479"")"),0)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IFERROR(__xludf.DUMMYFUNCTION("IMPORTRANGE(""https://docs.google.com/spreadsheets/d/1IYY_tgx_IHuhSq3AJ5eI5OnqOPBNLWSHKh2a30DoXe8/edit?usp=sharing"",""นราธิวาส!M480"")"),0)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IFERROR(__xludf.DUMMYFUNCTION("IMPORTRANGE(""https://docs.google.com/spreadsheets/d/1IYY_tgx_IHuhSq3AJ5eI5OnqOPBNLWSHKh2a30DoXe8/edit?usp=sharing"",""นราธิวาส!M481"")"),0)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IFERROR(__xludf.DUMMYFUNCTION("IMPORTRANGE(""https://docs.google.com/spreadsheets/d/1IYY_tgx_IHuhSq3AJ5eI5OnqOPBNLWSHKh2a30DoXe8/edit?usp=sharing"",""นราธิวาส!M482"")"),0)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IFERROR(__xludf.DUMMYFUNCTION("IMPORTRANGE(""https://docs.google.com/spreadsheets/d/1IYY_tgx_IHuhSq3AJ5eI5OnqOPBNLWSHKh2a30DoXe8/edit?usp=sharing"",""นราธิวาส!M483"")"),0)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4">
        <f ca="1">IFERROR(__xludf.DUMMYFUNCTION("IMPORTRANGE(""https://docs.google.com/spreadsheets/d/1IYY_tgx_IHuhSq3AJ5eI5OnqOPBNLWSHKh2a30DoXe8/edit?usp=sharing"",""นราธิวาส!J484"")"),0)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4">
        <f ca="1">IFERROR(__xludf.DUMMYFUNCTION("IMPORTRANGE(""https://docs.google.com/spreadsheets/d/1IYY_tgx_IHuhSq3AJ5eI5OnqOPBNLWSHKh2a30DoXe8/edit?usp=sharing"",""นราธิวาส!J485"")"),0)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4">
        <f ca="1">IFERROR(__xludf.DUMMYFUNCTION("IMPORTRANGE(""https://docs.google.com/spreadsheets/d/1IYY_tgx_IHuhSq3AJ5eI5OnqOPBNLWSHKh2a30DoXe8/edit?usp=sharing"",""นราธิวาส!J486"")"),0)</f>
        <v>0</v>
      </c>
      <c r="K591" s="167">
        <f t="shared" ca="1" si="124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4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4">
        <f ca="1">IFERROR(__xludf.DUMMYFUNCTION("IMPORTRANGE(""https://docs.google.com/spreadsheets/d/1IYY_tgx_IHuhSq3AJ5eI5OnqOPBNLWSHKh2a30DoXe8/edit?usp=sharing"",""นราธิวาส!J488"")"),0)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4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4">
        <f ca="1">IFERROR(__xludf.DUMMYFUNCTION("IMPORTRANGE(""https://docs.google.com/spreadsheets/d/1IYY_tgx_IHuhSq3AJ5eI5OnqOPBNLWSHKh2a30DoXe8/edit?usp=sharing"",""นราธิวาส!J490"")"),0)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IFERROR(__xludf.DUMMYFUNCTION("IMPORTRANGE(""https://docs.google.com/spreadsheets/d/1IYY_tgx_IHuhSq3AJ5eI5OnqOPBNLWSHKh2a30DoXe8/edit?usp=sharing"",""นราธิวาส!I491"")"),0)</f>
        <v>0</v>
      </c>
      <c r="J596" s="247">
        <f ca="1">IFERROR(__xludf.DUMMYFUNCTION("IMPORTRANGE(""https://docs.google.com/spreadsheets/d/1IYY_tgx_IHuhSq3AJ5eI5OnqOPBNLWSHKh2a30DoXe8/edit?usp=sharing"",""นราธิวาส!J491"")"),0)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4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IFERROR(__xludf.DUMMYFUNCTION("IMPORTRANGE(""https://docs.google.com/spreadsheets/d/1IYY_tgx_IHuhSq3AJ5eI5OnqOPBNLWSHKh2a30DoXe8/edit?usp=sharing"",""นราธิวาส!L492"")"),10690)</f>
        <v>10690</v>
      </c>
      <c r="M597" s="418"/>
      <c r="N597" s="418">
        <f ca="1">IFERROR(__xludf.DUMMYFUNCTION("IMPORTRANGE(""https://docs.google.com/spreadsheets/d/1IYY_tgx_IHuhSq3AJ5eI5OnqOPBNLWSHKh2a30DoXe8/edit?usp=sharing"",""นราธิวาส!M492"")"),15610)</f>
        <v>15610</v>
      </c>
      <c r="O597" s="418">
        <f t="shared" ref="O597:O601" ca="1" si="125">+IF(L597&gt;0,N597*100/L597,0)</f>
        <v>146.02432179607109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IFERROR(__xludf.DUMMYFUNCTION("IMPORTRANGE(""https://docs.google.com/spreadsheets/d/1IYY_tgx_IHuhSq3AJ5eI5OnqOPBNLWSHKh2a30DoXe8/edit?usp=sharing"",""นราธิวาส!L493"")"),0)</f>
        <v>0</v>
      </c>
      <c r="M598" s="168"/>
      <c r="N598" s="175">
        <f ca="1">IFERROR(__xludf.DUMMYFUNCTION("IMPORTRANGE(""https://docs.google.com/spreadsheets/d/1IYY_tgx_IHuhSq3AJ5eI5OnqOPBNLWSHKh2a30DoXe8/edit?usp=sharing"",""นราธิวาส!M493"")"),0)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IFERROR(__xludf.DUMMYFUNCTION("IMPORTRANGE(""https://docs.google.com/spreadsheets/d/1IYY_tgx_IHuhSq3AJ5eI5OnqOPBNLWSHKh2a30DoXe8/edit?usp=sharing"",""นราธิวาส!L494"")"),10690)</f>
        <v>10690</v>
      </c>
      <c r="M599" s="169"/>
      <c r="N599" s="175">
        <f ca="1">IFERROR(__xludf.DUMMYFUNCTION("IMPORTRANGE(""https://docs.google.com/spreadsheets/d/1IYY_tgx_IHuhSq3AJ5eI5OnqOPBNLWSHKh2a30DoXe8/edit?usp=sharing"",""นราธิวาส!M494"")"),15610)</f>
        <v>15610</v>
      </c>
      <c r="O599" s="175">
        <f t="shared" ca="1" si="125"/>
        <v>146.02432179607109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IFERROR(__xludf.DUMMYFUNCTION("IMPORTRANGE(""https://docs.google.com/spreadsheets/d/1IYY_tgx_IHuhSq3AJ5eI5OnqOPBNLWSHKh2a30DoXe8/edit?usp=sharing"",""นราธิวาส!L495"")"),0)</f>
        <v>0</v>
      </c>
      <c r="M600" s="175"/>
      <c r="N600" s="175">
        <f ca="1">IFERROR(__xludf.DUMMYFUNCTION("IMPORTRANGE(""https://docs.google.com/spreadsheets/d/1IYY_tgx_IHuhSq3AJ5eI5OnqOPBNLWSHKh2a30DoXe8/edit?usp=sharing"",""นราธิวาส!M495"")"),0)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IFERROR(__xludf.DUMMYFUNCTION("IMPORTRANGE(""https://docs.google.com/spreadsheets/d/1IYY_tgx_IHuhSq3AJ5eI5OnqOPBNLWSHKh2a30DoXe8/edit?usp=sharing"",""นราธิวาส!L496"")"),10690)</f>
        <v>10690</v>
      </c>
      <c r="M601" s="175"/>
      <c r="N601" s="175">
        <f ca="1">IFERROR(__xludf.DUMMYFUNCTION("IMPORTRANGE(""https://docs.google.com/spreadsheets/d/1IYY_tgx_IHuhSq3AJ5eI5OnqOPBNLWSHKh2a30DoXe8/edit?usp=sharing"",""นราธิวาส!M496"")"),15610)</f>
        <v>15610</v>
      </c>
      <c r="O601" s="175">
        <f t="shared" ca="1" si="125"/>
        <v>146.02432179607109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IFERROR(__xludf.DUMMYFUNCTION("IMPORTRANGE(""https://docs.google.com/spreadsheets/d/1IYY_tgx_IHuhSq3AJ5eI5OnqOPBNLWSHKh2a30DoXe8/edit?usp=sharing"",""นราธิวาส!M497"")"),0)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IFERROR(__xludf.DUMMYFUNCTION("IMPORTRANGE(""https://docs.google.com/spreadsheets/d/1IYY_tgx_IHuhSq3AJ5eI5OnqOPBNLWSHKh2a30DoXe8/edit?usp=sharing"",""นราธิวาส!M498"")"),0)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IFERROR(__xludf.DUMMYFUNCTION("IMPORTRANGE(""https://docs.google.com/spreadsheets/d/1IYY_tgx_IHuhSq3AJ5eI5OnqOPBNLWSHKh2a30DoXe8/edit?usp=sharing"",""นราธิวาส!M500"")"),15610)</f>
        <v>15610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IFERROR(__xludf.DUMMYFUNCTION("IMPORTRANGE(""https://docs.google.com/spreadsheets/d/1IYY_tgx_IHuhSq3AJ5eI5OnqOPBNLWSHKh2a30DoXe8/edit?usp=sharing"",""นราธิวาส!J502"")"),0)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IFERROR(__xludf.DUMMYFUNCTION("IMPORTRANGE(""https://docs.google.com/spreadsheets/d/1IYY_tgx_IHuhSq3AJ5eI5OnqOPBNLWSHKh2a30DoXe8/edit?usp=sharing"",""นราธิวาส!J503"")"),1)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IFERROR(__xludf.DUMMYFUNCTION("IMPORTRANGE(""https://docs.google.com/spreadsheets/d/1IYY_tgx_IHuhSq3AJ5eI5OnqOPBNLWSHKh2a30DoXe8/edit?usp=sharing"",""นราธิวาส!J166"")"),0)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IFERROR(__xludf.DUMMYFUNCTION("IMPORTRANGE(""https://docs.google.com/spreadsheets/d/1IYY_tgx_IHuhSq3AJ5eI5OnqOPBNLWSHKh2a30DoXe8/edit?usp=sharing"",""นราธิวาส!J166"")"),0)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IFERROR(__xludf.DUMMYFUNCTION("IMPORTRANGE(""https://docs.google.com/spreadsheets/d/1IYY_tgx_IHuhSq3AJ5eI5OnqOPBNLWSHKh2a30DoXe8/edit?usp=sharing"",""นราธิวาส!I506"")"),50)</f>
        <v>50</v>
      </c>
      <c r="J611" s="166">
        <f ca="1">IFERROR(__xludf.DUMMYFUNCTION("IMPORTRANGE(""https://docs.google.com/spreadsheets/d/1IYY_tgx_IHuhSq3AJ5eI5OnqOPBNLWSHKh2a30DoXe8/edit?usp=sharing"",""นราธิวาส!J506"")"),0)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IFERROR(__xludf.DUMMYFUNCTION("IMPORTRANGE(""https://docs.google.com/spreadsheets/d/1IYY_tgx_IHuhSq3AJ5eI5OnqOPBNLWSHKh2a30DoXe8/edit?usp=sharing"",""นราธิวาส!I507"")"),0)</f>
        <v>0</v>
      </c>
      <c r="J612" s="204">
        <f ca="1">IFERROR(__xludf.DUMMYFUNCTION("IMPORTRANGE(""https://docs.google.com/spreadsheets/d/1IYY_tgx_IHuhSq3AJ5eI5OnqOPBNLWSHKh2a30DoXe8/edit?usp=sharing"",""นราธิวาส!J507"")"),50)</f>
        <v>50</v>
      </c>
      <c r="K612" s="167">
        <f t="shared" ca="1" si="126"/>
        <v>100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IFERROR(__xludf.DUMMYFUNCTION("IMPORTRANGE(""https://docs.google.com/spreadsheets/d/1IYY_tgx_IHuhSq3AJ5eI5OnqOPBNLWSHKh2a30DoXe8/edit?usp=sharing"",""นราธิวาส!I508"")"),0)</f>
        <v>0</v>
      </c>
      <c r="J613" s="204">
        <f ca="1">IFERROR(__xludf.DUMMYFUNCTION("IMPORTRANGE(""https://docs.google.com/spreadsheets/d/1IYY_tgx_IHuhSq3AJ5eI5OnqOPBNLWSHKh2a30DoXe8/edit?usp=sharing"",""นราธิวาส!J508"")"),50)</f>
        <v>50</v>
      </c>
      <c r="K613" s="167">
        <f t="shared" ca="1" si="126"/>
        <v>100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IFERROR(__xludf.DUMMYFUNCTION("IMPORTRANGE(""https://docs.google.com/spreadsheets/d/1IYY_tgx_IHuhSq3AJ5eI5OnqOPBNLWSHKh2a30DoXe8/edit?usp=sharing"",""นราธิวาส!I509"")"),0)</f>
        <v>0</v>
      </c>
      <c r="J614" s="204">
        <f ca="1">IFERROR(__xludf.DUMMYFUNCTION("IMPORTRANGE(""https://docs.google.com/spreadsheets/d/1IYY_tgx_IHuhSq3AJ5eI5OnqOPBNLWSHKh2a30DoXe8/edit?usp=sharing"",""นราธิวาส!J509"")"),50)</f>
        <v>50</v>
      </c>
      <c r="K614" s="167">
        <f t="shared" ca="1" si="126"/>
        <v>100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IFERROR(__xludf.DUMMYFUNCTION("IMPORTRANGE(""https://docs.google.com/spreadsheets/d/1IYY_tgx_IHuhSq3AJ5eI5OnqOPBNLWSHKh2a30DoXe8/edit?usp=sharing"",""นราธิวาส!I510"")"),0)</f>
        <v>0</v>
      </c>
      <c r="J615" s="204">
        <f ca="1">IFERROR(__xludf.DUMMYFUNCTION("IMPORTRANGE(""https://docs.google.com/spreadsheets/d/1IYY_tgx_IHuhSq3AJ5eI5OnqOPBNLWSHKh2a30DoXe8/edit?usp=sharing"",""นราธิวาส!J510"")"),50)</f>
        <v>50</v>
      </c>
      <c r="K615" s="167">
        <f t="shared" ca="1" si="126"/>
        <v>100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IFERROR(__xludf.DUMMYFUNCTION("IMPORTRANGE(""https://docs.google.com/spreadsheets/d/1IYY_tgx_IHuhSq3AJ5eI5OnqOPBNLWSHKh2a30DoXe8/edit?usp=sharing"",""นราธิวาส!I511"")"),0)</f>
        <v>0</v>
      </c>
      <c r="J616" s="204">
        <f ca="1">IFERROR(__xludf.DUMMYFUNCTION("IMPORTRANGE(""https://docs.google.com/spreadsheets/d/1IYY_tgx_IHuhSq3AJ5eI5OnqOPBNLWSHKh2a30DoXe8/edit?usp=sharing"",""นราธิวาส!J511"")"),50)</f>
        <v>50</v>
      </c>
      <c r="K616" s="167">
        <f t="shared" ca="1" si="126"/>
        <v>100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IFERROR(__xludf.DUMMYFUNCTION("IMPORTRANGE(""https://docs.google.com/spreadsheets/d/1IYY_tgx_IHuhSq3AJ5eI5OnqOPBNLWSHKh2a30DoXe8/edit?usp=sharing"",""นราธิวาส!I512"")"),0)</f>
        <v>0</v>
      </c>
      <c r="J617" s="194">
        <f ca="1">IFERROR(__xludf.DUMMYFUNCTION("IMPORTRANGE(""https://docs.google.com/spreadsheets/d/1IYY_tgx_IHuhSq3AJ5eI5OnqOPBNLWSHKh2a30DoXe8/edit?usp=sharing"",""นราธิวาส!J512"")"),0)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IFERROR(__xludf.DUMMYFUNCTION("IMPORTRANGE(""https://docs.google.com/spreadsheets/d/1IYY_tgx_IHuhSq3AJ5eI5OnqOPBNLWSHKh2a30DoXe8/edit?usp=sharing"",""นราธิวาส!I513"")"),0)</f>
        <v>0</v>
      </c>
      <c r="J618" s="195">
        <f ca="1">IFERROR(__xludf.DUMMYFUNCTION("IMPORTRANGE(""https://docs.google.com/spreadsheets/d/1IYY_tgx_IHuhSq3AJ5eI5OnqOPBNLWSHKh2a30DoXe8/edit?usp=sharing"",""นราธิวาส!J513"")"),0)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IFERROR(__xludf.DUMMYFUNCTION("IMPORTRANGE(""https://docs.google.com/spreadsheets/d/1IYY_tgx_IHuhSq3AJ5eI5OnqOPBNLWSHKh2a30DoXe8/edit?usp=sharing"",""นราธิวาส!I514"")"),0)</f>
        <v>0</v>
      </c>
      <c r="J619" s="195">
        <f ca="1">IFERROR(__xludf.DUMMYFUNCTION("IMPORTRANGE(""https://docs.google.com/spreadsheets/d/1IYY_tgx_IHuhSq3AJ5eI5OnqOPBNLWSHKh2a30DoXe8/edit?usp=sharing"",""นราธิวาส!J514"")"),0)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09">
        <f ca="1">IFERROR(__xludf.DUMMYFUNCTION("IMPORTRANGE(""https://docs.google.com/spreadsheets/d/1IYY_tgx_IHuhSq3AJ5eI5OnqOPBNLWSHKh2a30DoXe8/edit?usp=sharing"",""นราธิวาส!J515"")"),267)</f>
        <v>267</v>
      </c>
      <c r="K620" s="167">
        <f t="shared" ref="K620:K626" ca="1" si="127">IF(I$620&gt;0,J620*100/I$620,0)</f>
        <v>100.05996102533391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IFERROR(__xludf.DUMMYFUNCTION("IMPORTRANGE(""https://docs.google.com/spreadsheets/d/1IYY_tgx_IHuhSq3AJ5eI5OnqOPBNLWSHKh2a30DoXe8/edit?usp=sharing"",""นราธิวาส!I516"")"),0)</f>
        <v>0</v>
      </c>
      <c r="J621" s="209">
        <f ca="1">IFERROR(__xludf.DUMMYFUNCTION("IMPORTRANGE(""https://docs.google.com/spreadsheets/d/1IYY_tgx_IHuhSq3AJ5eI5OnqOPBNLWSHKh2a30DoXe8/edit?usp=sharing"",""นราธิวาส!J516"")"),267)</f>
        <v>267</v>
      </c>
      <c r="K621" s="167">
        <f t="shared" ca="1" si="127"/>
        <v>100.05996102533391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IFERROR(__xludf.DUMMYFUNCTION("IMPORTRANGE(""https://docs.google.com/spreadsheets/d/1IYY_tgx_IHuhSq3AJ5eI5OnqOPBNLWSHKh2a30DoXe8/edit?usp=sharing"",""นราธิวาส!I517"")"),0)</f>
        <v>0</v>
      </c>
      <c r="J622" s="195">
        <f ca="1">IFERROR(__xludf.DUMMYFUNCTION("IMPORTRANGE(""https://docs.google.com/spreadsheets/d/1IYY_tgx_IHuhSq3AJ5eI5OnqOPBNLWSHKh2a30DoXe8/edit?usp=sharing"",""นราธิวาส!J517"")"),125)</f>
        <v>125</v>
      </c>
      <c r="K622" s="167">
        <f t="shared" ca="1" si="127"/>
        <v>46.844551041822989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IFERROR(__xludf.DUMMYFUNCTION("IMPORTRANGE(""https://docs.google.com/spreadsheets/d/1IYY_tgx_IHuhSq3AJ5eI5OnqOPBNLWSHKh2a30DoXe8/edit?usp=sharing"",""นราธิวาส!I518"")"),0)</f>
        <v>0</v>
      </c>
      <c r="J623" s="195">
        <f ca="1">IFERROR(__xludf.DUMMYFUNCTION("IMPORTRANGE(""https://docs.google.com/spreadsheets/d/1IYY_tgx_IHuhSq3AJ5eI5OnqOPBNLWSHKh2a30DoXe8/edit?usp=sharing"",""นราธิวาส!J518"")"),142)</f>
        <v>142</v>
      </c>
      <c r="K623" s="167">
        <f t="shared" ca="1" si="127"/>
        <v>53.215409983510916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IFERROR(__xludf.DUMMYFUNCTION("IMPORTRANGE(""https://docs.google.com/spreadsheets/d/1IYY_tgx_IHuhSq3AJ5eI5OnqOPBNLWSHKh2a30DoXe8/edit?usp=sharing"",""นราธิวาส!I519"")"),0)</f>
        <v>0</v>
      </c>
      <c r="J624" s="194">
        <f ca="1">IFERROR(__xludf.DUMMYFUNCTION("IMPORTRANGE(""https://docs.google.com/spreadsheets/d/1IYY_tgx_IHuhSq3AJ5eI5OnqOPBNLWSHKh2a30DoXe8/edit?usp=sharing"",""นราธิวาส!J519"")"),267)</f>
        <v>267</v>
      </c>
      <c r="K624" s="167">
        <f t="shared" ca="1" si="127"/>
        <v>100.05996102533391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IFERROR(__xludf.DUMMYFUNCTION("IMPORTRANGE(""https://docs.google.com/spreadsheets/d/1IYY_tgx_IHuhSq3AJ5eI5OnqOPBNLWSHKh2a30DoXe8/edit?usp=sharing"",""นราธิวาส!I520"")"),0)</f>
        <v>0</v>
      </c>
      <c r="J625" s="195">
        <f ca="1">IFERROR(__xludf.DUMMYFUNCTION("IMPORTRANGE(""https://docs.google.com/spreadsheets/d/1IYY_tgx_IHuhSq3AJ5eI5OnqOPBNLWSHKh2a30DoXe8/edit?usp=sharing"",""นราธิวาส!J520"")"),248)</f>
        <v>248</v>
      </c>
      <c r="K625" s="167">
        <f t="shared" ca="1" si="127"/>
        <v>92.93958926697681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IFERROR(__xludf.DUMMYFUNCTION("IMPORTRANGE(""https://docs.google.com/spreadsheets/d/1IYY_tgx_IHuhSq3AJ5eI5OnqOPBNLWSHKh2a30DoXe8/edit?usp=sharing"",""นราธิวาส!I521"")"),0)</f>
        <v>0</v>
      </c>
      <c r="J626" s="195">
        <f ca="1">IFERROR(__xludf.DUMMYFUNCTION("IMPORTRANGE(""https://docs.google.com/spreadsheets/d/1IYY_tgx_IHuhSq3AJ5eI5OnqOPBNLWSHKh2a30DoXe8/edit?usp=sharing"",""นราธิวาส!J521"")"),248)</f>
        <v>248</v>
      </c>
      <c r="K626" s="167">
        <f t="shared" ca="1" si="127"/>
        <v>92.93958926697681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IFERROR(__xludf.DUMMYFUNCTION("IMPORTRANGE(""https://docs.google.com/spreadsheets/d/1IYY_tgx_IHuhSq3AJ5eI5OnqOPBNLWSHKh2a30DoXe8/edit?usp=sharing"",""นราธิวาส!J523"")"),290135.11)</f>
        <v>290135.11</v>
      </c>
      <c r="K628" s="348">
        <f t="shared" ref="K628:K635" ca="1" si="128">IF(I628&gt;0,J628*100/I628,0)</f>
        <v>93.823864214588951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IFERROR(__xludf.DUMMYFUNCTION("IMPORTRANGE(""https://docs.google.com/spreadsheets/d/1IYY_tgx_IHuhSq3AJ5eI5OnqOPBNLWSHKh2a30DoXe8/edit?usp=sharing"",""นราธิวาส!J524"")"),29)</f>
        <v>29</v>
      </c>
      <c r="K629" s="348">
        <f t="shared" ca="1" si="128"/>
        <v>100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IFERROR(__xludf.DUMMYFUNCTION("IMPORTRANGE(""https://docs.google.com/spreadsheets/d/1IYY_tgx_IHuhSq3AJ5eI5OnqOPBNLWSHKh2a30DoXe8/edit?usp=sharing"",""นราธิวาส!J525"")"),18705.61)</f>
        <v>18705.61</v>
      </c>
      <c r="K630" s="348">
        <f t="shared" ca="1" si="128"/>
        <v>6.5720421829486551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IFERROR(__xludf.DUMMYFUNCTION("IMPORTRANGE(""https://docs.google.com/spreadsheets/d/1IYY_tgx_IHuhSq3AJ5eI5OnqOPBNLWSHKh2a30DoXe8/edit?usp=sharing"",""นราธิวาส!J526"")"),10)</f>
        <v>10</v>
      </c>
      <c r="K631" s="348">
        <f t="shared" ca="1" si="128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IFERROR(__xludf.DUMMYFUNCTION("IMPORTRANGE(""https://docs.google.com/spreadsheets/d/1IYY_tgx_IHuhSq3AJ5eI5OnqOPBNLWSHKh2a30DoXe8/edit?usp=sharing"",""นราธิวาส!J527"")"),57640.04)</f>
        <v>57640.04</v>
      </c>
      <c r="K632" s="348">
        <f t="shared" ca="1" si="128"/>
        <v>71.034408900836951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IFERROR(__xludf.DUMMYFUNCTION("IMPORTRANGE(""https://docs.google.com/spreadsheets/d/1IYY_tgx_IHuhSq3AJ5eI5OnqOPBNLWSHKh2a30DoXe8/edit?usp=sharing"",""นราธิวาส!J528"")"),87)</f>
        <v>87</v>
      </c>
      <c r="K633" s="348">
        <f t="shared" ca="1" si="128"/>
        <v>68.503937007874015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IFERROR(__xludf.DUMMYFUNCTION("IMPORTRANGE(""https://docs.google.com/spreadsheets/d/1IYY_tgx_IHuhSq3AJ5eI5OnqOPBNLWSHKh2a30DoXe8/edit?usp=sharing"",""นราธิวาส!I529"")"),300000)</f>
        <v>300000</v>
      </c>
      <c r="J634" s="347">
        <f ca="1">IFERROR(__xludf.DUMMYFUNCTION("IMPORTRANGE(""https://docs.google.com/spreadsheets/d/1IYY_tgx_IHuhSq3AJ5eI5OnqOPBNLWSHKh2a30DoXe8/edit?usp=sharing"",""นราธิวาส!J529"")"),300000)</f>
        <v>300000</v>
      </c>
      <c r="K634" s="348">
        <f t="shared" ca="1" si="128"/>
        <v>100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IFERROR(__xludf.DUMMYFUNCTION("IMPORTRANGE(""https://docs.google.com/spreadsheets/d/1IYY_tgx_IHuhSq3AJ5eI5OnqOPBNLWSHKh2a30DoXe8/edit?usp=sharing"",""นราธิวาส!I530"")"),10)</f>
        <v>10</v>
      </c>
      <c r="J635" s="518">
        <f ca="1">IFERROR(__xludf.DUMMYFUNCTION("IMPORTRANGE(""https://docs.google.com/spreadsheets/d/1IYY_tgx_IHuhSq3AJ5eI5OnqOPBNLWSHKh2a30DoXe8/edit?usp=sharing"",""นราธิวาส!J530"")"),7)</f>
        <v>7</v>
      </c>
      <c r="K635" s="493">
        <f t="shared" ca="1" si="128"/>
        <v>70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13395</v>
      </c>
      <c r="M636" s="524"/>
      <c r="N636" s="523">
        <f ca="1">SUM(N637:N638)</f>
        <v>8270</v>
      </c>
      <c r="O636" s="523">
        <f t="shared" ref="O636:O640" ca="1" si="129">+IF(L636&gt;0,N636*100/L636,0)</f>
        <v>61.739455020530052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13395</v>
      </c>
      <c r="M638" s="534"/>
      <c r="N638" s="535">
        <f ca="1">SUM(N639:N640)</f>
        <v>8270</v>
      </c>
      <c r="O638" s="535">
        <f t="shared" ca="1" si="129"/>
        <v>61.739455020530052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13395</v>
      </c>
      <c r="M640" s="534"/>
      <c r="N640" s="535">
        <f ca="1">SUM(N641:N644)</f>
        <v>8270</v>
      </c>
      <c r="O640" s="535">
        <f t="shared" ca="1" si="129"/>
        <v>61.739455020530052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8270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IFERROR(__xludf.DUMMYFUNCTION("IMPORTRANGE(""https://docs.google.com/spreadsheets/d/1IYY_tgx_IHuhSq3AJ5eI5OnqOPBNLWSHKh2a30DoXe8/edit?usp=sharing"",""นราธิวาส!J541"")"),0)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IFERROR(__xludf.DUMMYFUNCTION("IMPORTRANGE(""https://docs.google.com/spreadsheets/d/1IYY_tgx_IHuhSq3AJ5eI5OnqOPBNLWSHKh2a30DoXe8/edit?usp=sharing"",""นราธิวาส!J542"")"),0)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IFERROR(__xludf.DUMMYFUNCTION("IMPORTRANGE(""https://docs.google.com/spreadsheets/d/1IYY_tgx_IHuhSq3AJ5eI5OnqOPBNLWSHKh2a30DoXe8/edit?usp=sharing"",""นราธิวาส!I543"")"),63)</f>
        <v>63</v>
      </c>
      <c r="J648" s="547">
        <f ca="1">IFERROR(__xludf.DUMMYFUNCTION("IMPORTRANGE(""https://docs.google.com/spreadsheets/d/1IYY_tgx_IHuhSq3AJ5eI5OnqOPBNLWSHKh2a30DoXe8/edit?usp=sharing"",""นราธิวาส!J543"")"),11)</f>
        <v>11</v>
      </c>
      <c r="K648" s="548">
        <f t="shared" ref="K648:K651" ca="1" si="130">IF(I648&gt;0,J648*100/I648,0)</f>
        <v>17.460317460317459</v>
      </c>
      <c r="L648" s="535">
        <f ca="1">IFERROR(__xludf.DUMMYFUNCTION("IMPORTRANGE(""https://docs.google.com/spreadsheets/d/1IYY_tgx_IHuhSq3AJ5eI5OnqOPBNLWSHKh2a30DoXe8/edit?usp=sharing"",""นราธิวาส!L543"")"),7875)</f>
        <v>7875</v>
      </c>
      <c r="M648" s="534"/>
      <c r="N648" s="549">
        <f ca="1">IFERROR(__xludf.DUMMYFUNCTION("IMPORTRANGE(""https://docs.google.com/spreadsheets/d/1IYY_tgx_IHuhSq3AJ5eI5OnqOPBNLWSHKh2a30DoXe8/edit?usp=sharing"",""นราธิวาส!M543"")"),5640)</f>
        <v>5640</v>
      </c>
      <c r="O648" s="548">
        <f t="shared" ref="O648:O651" ca="1" si="131">IF(L648&gt;0,N648*100/L648,0)</f>
        <v>71.61904761904762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IFERROR(__xludf.DUMMYFUNCTION("IMPORTRANGE(""https://docs.google.com/spreadsheets/d/1IYY_tgx_IHuhSq3AJ5eI5OnqOPBNLWSHKh2a30DoXe8/edit?usp=sharing"",""นราธิวาส!I544"")"),46)</f>
        <v>46</v>
      </c>
      <c r="J649" s="547">
        <f ca="1">IFERROR(__xludf.DUMMYFUNCTION("IMPORTRANGE(""https://docs.google.com/spreadsheets/d/1IYY_tgx_IHuhSq3AJ5eI5OnqOPBNLWSHKh2a30DoXe8/edit?usp=sharing"",""นราธิวาส!J544"")"),0)</f>
        <v>0</v>
      </c>
      <c r="K649" s="548">
        <f t="shared" ca="1" si="130"/>
        <v>0</v>
      </c>
      <c r="L649" s="535">
        <f ca="1">IFERROR(__xludf.DUMMYFUNCTION("IMPORTRANGE(""https://docs.google.com/spreadsheets/d/1IYY_tgx_IHuhSq3AJ5eI5OnqOPBNLWSHKh2a30DoXe8/edit?usp=sharing"",""นราธิวาส!L544"")"),5520)</f>
        <v>5520</v>
      </c>
      <c r="M649" s="534"/>
      <c r="N649" s="549">
        <f ca="1">IFERROR(__xludf.DUMMYFUNCTION("IMPORTRANGE(""https://docs.google.com/spreadsheets/d/1IYY_tgx_IHuhSq3AJ5eI5OnqOPBNLWSHKh2a30DoXe8/edit?usp=sharing"",""นราธิวาส!M544"")"),2630)</f>
        <v>2630</v>
      </c>
      <c r="O649" s="548">
        <f t="shared" ca="1" si="131"/>
        <v>47.644927536231883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IFERROR(__xludf.DUMMYFUNCTION("IMPORTRANGE(""https://docs.google.com/spreadsheets/d/1IYY_tgx_IHuhSq3AJ5eI5OnqOPBNLWSHKh2a30DoXe8/edit?usp=sharing"",""นราธิวาส!I545"")"),0)</f>
        <v>0</v>
      </c>
      <c r="J650" s="547">
        <f ca="1">IFERROR(__xludf.DUMMYFUNCTION("IMPORTRANGE(""https://docs.google.com/spreadsheets/d/1IYY_tgx_IHuhSq3AJ5eI5OnqOPBNLWSHKh2a30DoXe8/edit?usp=sharing"",""นราธิวาส!J545"")"),0)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IFERROR(__xludf.DUMMYFUNCTION("IMPORTRANGE(""https://docs.google.com/spreadsheets/d/1IYY_tgx_IHuhSq3AJ5eI5OnqOPBNLWSHKh2a30DoXe8/edit?usp=sharing"",""นราธิวาส!L545"")"),0)</f>
        <v>0</v>
      </c>
      <c r="M650" s="534"/>
      <c r="N650" s="549">
        <f ca="1">IFERROR(__xludf.DUMMYFUNCTION("IMPORTRANGE(""https://docs.google.com/spreadsheets/d/1IYY_tgx_IHuhSq3AJ5eI5OnqOPBNLWSHKh2a30DoXe8/edit?usp=sharing"",""นราธิวาส!M545"")"),0)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IFERROR(__xludf.DUMMYFUNCTION("IMPORTRANGE(""https://docs.google.com/spreadsheets/d/1IYY_tgx_IHuhSq3AJ5eI5OnqOPBNLWSHKh2a30DoXe8/edit?usp=sharing"",""นราธิวาส!I546"")"),0)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IFERROR(__xludf.DUMMYFUNCTION("IMPORTRANGE(""https://docs.google.com/spreadsheets/d/1IYY_tgx_IHuhSq3AJ5eI5OnqOPBNLWSHKh2a30DoXe8/edit?usp=sharing"",""นราธิวาส!L546"")"),0)</f>
        <v>0</v>
      </c>
      <c r="M651" s="534"/>
      <c r="N651" s="549">
        <f ca="1">IFERROR(__xludf.DUMMYFUNCTION("IMPORTRANGE(""https://docs.google.com/spreadsheets/d/1IYY_tgx_IHuhSq3AJ5eI5OnqOPBNLWSHKh2a30DoXe8/edit?usp=sharing"",""นราธิวาส!M546"")"),0)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IFERROR(__xludf.DUMMYFUNCTION("IMPORTRANGE(""https://docs.google.com/spreadsheets/d/1IYY_tgx_IHuhSq3AJ5eI5OnqOPBNLWSHKh2a30DoXe8/edit?usp=sharing"",""นราธิวาส!J547"")"),0)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IFERROR(__xludf.DUMMYFUNCTION("IMPORTRANGE(""https://docs.google.com/spreadsheets/d/1IYY_tgx_IHuhSq3AJ5eI5OnqOPBNLWSHKh2a30DoXe8/edit?usp=sharing"",""นราธิวาส!J548"")"),0)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IFERROR(__xludf.DUMMYFUNCTION("IMPORTRANGE(""https://docs.google.com/spreadsheets/d/1IYY_tgx_IHuhSq3AJ5eI5OnqOPBNLWSHKh2a30DoXe8/edit?usp=sharing"",""นราธิวาส!J550"")"),0)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IFERROR(__xludf.DUMMYFUNCTION("IMPORTRANGE(""https://docs.google.com/spreadsheets/d/1IYY_tgx_IHuhSq3AJ5eI5OnqOPBNLWSHKh2a30DoXe8/edit?usp=sharing"",""นราธิวาส!J551"")"),0)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IFERROR(__xludf.DUMMYFUNCTION("IMPORTRANGE(""https://docs.google.com/spreadsheets/d/1IYY_tgx_IHuhSq3AJ5eI5OnqOPBNLWSHKh2a30DoXe8/edit?usp=sharing"",""นราธิวาส!J552"")"),0)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IFERROR(__xludf.DUMMYFUNCTION("IMPORTRANGE(""https://docs.google.com/spreadsheets/d/1IYY_tgx_IHuhSq3AJ5eI5OnqOPBNLWSHKh2a30DoXe8/edit?usp=sharing"",""นราธิวาส!J553"")"),0)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IFERROR(__xludf.DUMMYFUNCTION("IMPORTRANGE(""https://docs.google.com/spreadsheets/d/1IYY_tgx_IHuhSq3AJ5eI5OnqOPBNLWSHKh2a30DoXe8/edit?usp=sharing"",""นราธิวาส!J554"")"),0)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IFERROR(__xludf.DUMMYFUNCTION("IMPORTRANGE(""https://docs.google.com/spreadsheets/d/1IYY_tgx_IHuhSq3AJ5eI5OnqOPBNLWSHKh2a30DoXe8/edit?usp=sharing"",""นราธิวาส!J555"")"),0)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IFERROR(__xludf.DUMMYFUNCTION("IMPORTRANGE(""https://docs.google.com/spreadsheets/d/1IYY_tgx_IHuhSq3AJ5eI5OnqOPBNLWSHKh2a30DoXe8/edit?usp=sharing"",""นราธิวาส!J556"")"),0)</f>
        <v>0</v>
      </c>
      <c r="K661" s="548"/>
      <c r="L661" s="535">
        <f ca="1">IFERROR(__xludf.DUMMYFUNCTION("IMPORTRANGE(""https://docs.google.com/spreadsheets/d/1IYY_tgx_IHuhSq3AJ5eI5OnqOPBNLWSHKh2a30DoXe8/edit?usp=sharing"",""นราธิวาส!L556"")"),0)</f>
        <v>0</v>
      </c>
      <c r="M661" s="534"/>
      <c r="N661" s="549">
        <f ca="1">IFERROR(__xludf.DUMMYFUNCTION("IMPORTRANGE(""https://docs.google.com/spreadsheets/d/1IYY_tgx_IHuhSq3AJ5eI5OnqOPBNLWSHKh2a30DoXe8/edit?usp=sharing"",""นราธิวาส!M556"")"),0)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IFERROR(__xludf.DUMMYFUNCTION("IMPORTRANGE(""https://docs.google.com/spreadsheets/d/1IYY_tgx_IHuhSq3AJ5eI5OnqOPBNLWSHKh2a30DoXe8/edit?usp=sharing"",""นราธิวาส!J557"")"),0)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IFERROR(__xludf.DUMMYFUNCTION("IMPORTRANGE(""https://docs.google.com/spreadsheets/d/1IYY_tgx_IHuhSq3AJ5eI5OnqOPBNLWSHKh2a30DoXe8/edit?usp=sharing"",""นราธิวาส!I558"")"),0)</f>
        <v>0</v>
      </c>
      <c r="J663" s="547">
        <f ca="1">IFERROR(__xludf.DUMMYFUNCTION("IMPORTRANGE(""https://docs.google.com/spreadsheets/d/1IYY_tgx_IHuhSq3AJ5eI5OnqOPBNLWSHKh2a30DoXe8/edit?usp=sharing"",""นราธิวาส!J558"")"),0)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IFERROR(__xludf.DUMMYFUNCTION("IMPORTRANGE(""https://docs.google.com/spreadsheets/d/1IYY_tgx_IHuhSq3AJ5eI5OnqOPBNLWSHKh2a30DoXe8/edit?usp=sharing"",""นราธิวาส!I560"")"),0)</f>
        <v>0</v>
      </c>
      <c r="J665" s="547">
        <f ca="1">IFERROR(__xludf.DUMMYFUNCTION("IMPORTRANGE(""https://docs.google.com/spreadsheets/d/1IYY_tgx_IHuhSq3AJ5eI5OnqOPBNLWSHKh2a30DoXe8/edit?usp=sharing"",""นราธิวาส!J560"")"),0)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IFERROR(__xludf.DUMMYFUNCTION("IMPORTRANGE(""https://docs.google.com/spreadsheets/d/1IYY_tgx_IHuhSq3AJ5eI5OnqOPBNLWSHKh2a30DoXe8/edit?usp=sharing"",""นราธิวาส!L560"")"),0)</f>
        <v>0</v>
      </c>
      <c r="M665" s="534"/>
      <c r="N665" s="549">
        <f ca="1">IFERROR(__xludf.DUMMYFUNCTION("IMPORTRANGE(""https://docs.google.com/spreadsheets/d/1IYY_tgx_IHuhSq3AJ5eI5OnqOPBNLWSHKh2a30DoXe8/edit?usp=sharing"",""นราธิวาส!M560"")"),0)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IFERROR(__xludf.DUMMYFUNCTION("IMPORTRANGE(""https://docs.google.com/spreadsheets/d/1IYY_tgx_IHuhSq3AJ5eI5OnqOPBNLWSHKh2a30DoXe8/edit?usp=sharing"",""นราธิวาส!J561"")"),0)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IFERROR(__xludf.DUMMYFUNCTION("IMPORTRANGE(""https://docs.google.com/spreadsheets/d/1IYY_tgx_IHuhSq3AJ5eI5OnqOPBNLWSHKh2a30DoXe8/edit?usp=sharing"",""นราธิวาส!J562"")"),0)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IFERROR(__xludf.DUMMYFUNCTION("IMPORTRANGE(""https://docs.google.com/spreadsheets/d/1IYY_tgx_IHuhSq3AJ5eI5OnqOPBNLWSHKh2a30DoXe8/edit?usp=sharing"",""นราธิวาส!I563"")"),0)</f>
        <v>0</v>
      </c>
      <c r="J668" s="547">
        <f ca="1">IFERROR(__xludf.DUMMYFUNCTION("IMPORTRANGE(""https://docs.google.com/spreadsheets/d/1IYY_tgx_IHuhSq3AJ5eI5OnqOPBNLWSHKh2a30DoXe8/edit?usp=sharing"",""นราธิวาส!J563"")"),0)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IFERROR(__xludf.DUMMYFUNCTION("IMPORTRANGE(""https://docs.google.com/spreadsheets/d/1IYY_tgx_IHuhSq3AJ5eI5OnqOPBNLWSHKh2a30DoXe8/edit?usp=sharing"",""นราธิวาส!L563"")"),0)</f>
        <v>0</v>
      </c>
      <c r="M668" s="534"/>
      <c r="N668" s="549">
        <f ca="1">IFERROR(__xludf.DUMMYFUNCTION("IMPORTRANGE(""https://docs.google.com/spreadsheets/d/1IYY_tgx_IHuhSq3AJ5eI5OnqOPBNLWSHKh2a30DoXe8/edit?usp=sharing"",""นราธิวาส!M563"")"),0)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IFERROR(__xludf.DUMMYFUNCTION("IMPORTRANGE(""https://docs.google.com/spreadsheets/d/1IYY_tgx_IHuhSq3AJ5eI5OnqOPBNLWSHKh2a30DoXe8/edit?usp=sharing"",""นราธิวาส!J564"")"),0)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IFERROR(__xludf.DUMMYFUNCTION("IMPORTRANGE(""https://docs.google.com/spreadsheets/d/1IYY_tgx_IHuhSq3AJ5eI5OnqOPBNLWSHKh2a30DoXe8/edit?usp=sharing"",""นราธิวาส!J565"")"),0)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IFERROR(__xludf.DUMMYFUNCTION("IMPORTRANGE(""https://docs.google.com/spreadsheets/d/1IYY_tgx_IHuhSq3AJ5eI5OnqOPBNLWSHKh2a30DoXe8/edit?usp=sharing"",""นราธิวาส!I566"")"),0)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IFERROR(__xludf.DUMMYFUNCTION("IMPORTRANGE(""https://docs.google.com/spreadsheets/d/1IYY_tgx_IHuhSq3AJ5eI5OnqOPBNLWSHKh2a30DoXe8/edit?usp=sharing"",""นราธิวาส!L566"")"),0)</f>
        <v>0</v>
      </c>
      <c r="M671" s="534"/>
      <c r="N671" s="549">
        <f ca="1">IFERROR(__xludf.DUMMYFUNCTION("IMPORTRANGE(""https://docs.google.com/spreadsheets/d/1IYY_tgx_IHuhSq3AJ5eI5OnqOPBNLWSHKh2a30DoXe8/edit?usp=sharing"",""นราธิวาส!M566"")"),0)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IFERROR(__xludf.DUMMYFUNCTION("IMPORTRANGE(""https://docs.google.com/spreadsheets/d/1IYY_tgx_IHuhSq3AJ5eI5OnqOPBNLWSHKh2a30DoXe8/edit?usp=sharing"",""นราธิวาส!J567"")"),0)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IFERROR(__xludf.DUMMYFUNCTION("IMPORTRANGE(""https://docs.google.com/spreadsheets/d/1IYY_tgx_IHuhSq3AJ5eI5OnqOPBNLWSHKh2a30DoXe8/edit?usp=sharing"",""นราธิวาส!J568"")"),0)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IFERROR(__xludf.DUMMYFUNCTION("IMPORTRANGE(""https://docs.google.com/spreadsheets/d/1IYY_tgx_IHuhSq3AJ5eI5OnqOPBNLWSHKh2a30DoXe8/edit?usp=sharing"",""นราธิวาส!J569"")"),0)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IFERROR(__xludf.DUMMYFUNCTION("IMPORTRANGE(""https://docs.google.com/spreadsheets/d/1IYY_tgx_IHuhSq3AJ5eI5OnqOPBNLWSHKh2a30DoXe8/edit?usp=sharing"",""นราธิวาส!J570"")"),0)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IFERROR(__xludf.DUMMYFUNCTION("IMPORTRANGE(""https://docs.google.com/spreadsheets/d/1IYY_tgx_IHuhSq3AJ5eI5OnqOPBNLWSHKh2a30DoXe8/edit?usp=sharing"",""นราธิวาส!J571"")"),0)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IFERROR(__xludf.DUMMYFUNCTION("IMPORTRANGE(""https://docs.google.com/spreadsheets/d/1IYY_tgx_IHuhSq3AJ5eI5OnqOPBNLWSHKh2a30DoXe8/edit?usp=sharing"",""นราธิวาส!J572"")"),0)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271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2748291</v>
      </c>
      <c r="M8" s="23">
        <f t="shared" ca="1" si="0"/>
        <v>2174495</v>
      </c>
      <c r="N8" s="23">
        <f t="shared" ca="1" si="0"/>
        <v>2458283.2199999997</v>
      </c>
      <c r="O8" s="22">
        <f t="shared" ref="O8:O16" ca="1" si="1">IF(L8&gt;0,N8*100/L8,0)</f>
        <v>89.447704773621126</v>
      </c>
      <c r="P8" s="22">
        <f t="shared" ref="P8:P16" ca="1" si="2">IF(M8&gt;0,N8*100/M8,0)</f>
        <v>113.05076443036198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2748291</v>
      </c>
      <c r="M10" s="30">
        <f t="shared" ca="1" si="4"/>
        <v>2174495</v>
      </c>
      <c r="N10" s="30">
        <f t="shared" ca="1" si="4"/>
        <v>2458283.2199999997</v>
      </c>
      <c r="O10" s="29">
        <f t="shared" ca="1" si="1"/>
        <v>89.447704773621126</v>
      </c>
      <c r="P10" s="29">
        <f t="shared" ca="1" si="2"/>
        <v>113.05076443036198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2735791</v>
      </c>
      <c r="M12" s="38">
        <f t="shared" ca="1" si="6"/>
        <v>2161995</v>
      </c>
      <c r="N12" s="38">
        <f t="shared" ca="1" si="6"/>
        <v>2417283.2199999997</v>
      </c>
      <c r="O12" s="38">
        <f t="shared" ca="1" si="1"/>
        <v>88.357744432962889</v>
      </c>
      <c r="P12" s="38">
        <f t="shared" ca="1" si="2"/>
        <v>111.80799308046502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1654700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1081091</v>
      </c>
      <c r="M14" s="38">
        <f t="shared" si="8"/>
        <v>0</v>
      </c>
      <c r="N14" s="38">
        <f t="shared" ca="1" si="8"/>
        <v>706850.66999999993</v>
      </c>
      <c r="O14" s="41">
        <f t="shared" ca="1" si="1"/>
        <v>65.383087085175987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12500</v>
      </c>
      <c r="M16" s="38">
        <f t="shared" ca="1" si="10"/>
        <v>12500</v>
      </c>
      <c r="N16" s="38">
        <f t="shared" ca="1" si="10"/>
        <v>41000</v>
      </c>
      <c r="O16" s="50">
        <f t="shared" ca="1" si="1"/>
        <v>328</v>
      </c>
      <c r="P16" s="50">
        <f t="shared" ca="1" si="2"/>
        <v>328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2024465</v>
      </c>
      <c r="M18" s="23">
        <f t="shared" ca="1" si="11"/>
        <v>2174495</v>
      </c>
      <c r="N18" s="23">
        <f t="shared" ca="1" si="11"/>
        <v>1751432.5499999998</v>
      </c>
      <c r="O18" s="22">
        <f t="shared" ref="O18:O20" ca="1" si="12">IF(L18&gt;0,N18*100/L18,0)</f>
        <v>86.51335291052203</v>
      </c>
      <c r="P18" s="22">
        <f t="shared" ref="P18:P26" ca="1" si="13">IF(M18&gt;0,N18*100/M18,0)</f>
        <v>80.544335581364848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2024465</v>
      </c>
      <c r="M20" s="30">
        <f t="shared" ca="1" si="15"/>
        <v>2174495</v>
      </c>
      <c r="N20" s="30">
        <f t="shared" ca="1" si="15"/>
        <v>1751432.5499999998</v>
      </c>
      <c r="O20" s="29">
        <f t="shared" ca="1" si="12"/>
        <v>86.51335291052203</v>
      </c>
      <c r="P20" s="29">
        <f t="shared" ca="1" si="13"/>
        <v>80.544335581364848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2011965</v>
      </c>
      <c r="M22" s="42">
        <f t="shared" ca="1" si="18"/>
        <v>2161995</v>
      </c>
      <c r="N22" s="41">
        <f t="shared" ca="1" si="18"/>
        <v>1710432.5499999998</v>
      </c>
      <c r="O22" s="41">
        <f t="shared" ca="1" si="17"/>
        <v>85.01303700611092</v>
      </c>
      <c r="P22" s="41">
        <f t="shared" ca="1" si="13"/>
        <v>79.113621909393856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1654700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357265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12500</v>
      </c>
      <c r="M26" s="50">
        <f t="shared" ca="1" si="22"/>
        <v>12500</v>
      </c>
      <c r="N26" s="50">
        <f t="shared" ca="1" si="22"/>
        <v>41000</v>
      </c>
      <c r="O26" s="50">
        <f t="shared" ca="1" si="17"/>
        <v>328</v>
      </c>
      <c r="P26" s="50">
        <f t="shared" ca="1" si="13"/>
        <v>328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723826</v>
      </c>
      <c r="M28" s="23">
        <f t="shared" si="23"/>
        <v>0</v>
      </c>
      <c r="N28" s="23">
        <f t="shared" ca="1" si="23"/>
        <v>706850.66999999993</v>
      </c>
      <c r="O28" s="22">
        <f t="shared" ref="O28:O30" ca="1" si="24">IF(L28&gt;0,N28*100/L28,0)</f>
        <v>97.654777529406232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723826</v>
      </c>
      <c r="M30" s="30">
        <f t="shared" si="27"/>
        <v>0</v>
      </c>
      <c r="N30" s="30">
        <f t="shared" ca="1" si="27"/>
        <v>706850.66999999993</v>
      </c>
      <c r="O30" s="29">
        <f t="shared" ca="1" si="24"/>
        <v>97.654777529406232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723826</v>
      </c>
      <c r="M32" s="41">
        <f t="shared" si="30"/>
        <v>0</v>
      </c>
      <c r="N32" s="41">
        <f t="shared" ca="1" si="30"/>
        <v>706850.66999999993</v>
      </c>
      <c r="O32" s="41">
        <f t="shared" ca="1" si="29"/>
        <v>97.654777529406232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723826</v>
      </c>
      <c r="M34" s="41">
        <f t="shared" si="32"/>
        <v>0</v>
      </c>
      <c r="N34" s="41">
        <f t="shared" ca="1" si="32"/>
        <v>706850.66999999993</v>
      </c>
      <c r="O34" s="41">
        <f t="shared" ca="1" si="29"/>
        <v>97.654777529406232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2024465</v>
      </c>
      <c r="M37" s="55">
        <f t="shared" ca="1" si="33"/>
        <v>2174495</v>
      </c>
      <c r="N37" s="55">
        <f t="shared" ca="1" si="33"/>
        <v>1751432.5499999998</v>
      </c>
      <c r="O37" s="56">
        <f t="shared" ca="1" si="29"/>
        <v>86.51335291052203</v>
      </c>
      <c r="P37" s="56">
        <f t="shared" ca="1" si="25"/>
        <v>80.544335581364848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569100</v>
      </c>
      <c r="M41" s="79">
        <f t="shared" ca="1" si="34"/>
        <v>569100</v>
      </c>
      <c r="N41" s="79">
        <f t="shared" ca="1" si="34"/>
        <v>491409.02</v>
      </c>
      <c r="O41" s="78">
        <f t="shared" ref="O41:O43" ca="1" si="35">IF(L41&gt;0,N41*100/L41,0)</f>
        <v>86.34844842734141</v>
      </c>
      <c r="P41" s="78">
        <f t="shared" ref="P41:P43" ca="1" si="36">IF(M41&gt;0,N41*100/M41,0)</f>
        <v>86.34844842734141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569100</v>
      </c>
      <c r="M43" s="79">
        <f t="shared" ca="1" si="38"/>
        <v>569100</v>
      </c>
      <c r="N43" s="79">
        <f t="shared" ca="1" si="38"/>
        <v>491409.02</v>
      </c>
      <c r="O43" s="78">
        <f t="shared" ca="1" si="35"/>
        <v>86.34844842734141</v>
      </c>
      <c r="P43" s="78">
        <f t="shared" ca="1" si="36"/>
        <v>86.34844842734141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569100</v>
      </c>
      <c r="M45" s="91">
        <f ca="1">IFERROR(__xludf.DUMMYFUNCTION("IMPORTRANGE(""https://docs.google.com/spreadsheets/d/1Yj_ptqi66GCucihVvJfMjLAmec39IyEx_6qawtMGysU/edit?usp=sharing"",""สบก!Q86"")"),569100)</f>
        <v>569100</v>
      </c>
      <c r="N45" s="91">
        <f ca="1">IFERROR(__xludf.DUMMYFUNCTION("IMPORTRANGE(""https://docs.google.com/spreadsheets/d/1Yj_ptqi66GCucihVvJfMjLAmec39IyEx_6qawtMGysU/edit?usp=sharing"",""สบก!R86"")"),462909.02)</f>
        <v>462909.02</v>
      </c>
      <c r="O45" s="92">
        <f ca="1">IF(L45&gt;0,N45*100/L45,0)</f>
        <v>81.340541205412052</v>
      </c>
      <c r="P45" s="92">
        <f ca="1">IF(M45&gt;0,N45*100/M45,0)</f>
        <v>81.340541205412052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IFERROR(__xludf.DUMMYFUNCTION("IMPORTRANGE(""https://docs.google.com/spreadsheets/d/1Yj_ptqi66GCucihVvJfMjLAmec39IyEx_6qawtMGysU/edit?usp=sharing"",""สบก!M86"")"),569100)</f>
        <v>569100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IFERROR(__xludf.DUMMYFUNCTION("IMPORTRANGE(""https://docs.google.com/spreadsheets/d/1Yj_ptqi66GCucihVvJfMjLAmec39IyEx_6qawtMGysU/edit?usp=sharing"",""สบก!O86"")"),0)</f>
        <v>0</v>
      </c>
      <c r="M49" s="101"/>
      <c r="N49" s="91">
        <f ca="1">IFERROR(__xludf.DUMMYFUNCTION("IMPORTRANGE(""https://docs.google.com/spreadsheets/d/1Yj_ptqi66GCucihVvJfMjLAmec39IyEx_6qawtMGysU/edit?usp=sharing"",""สบก!S86"")"),28500)</f>
        <v>28500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350000</v>
      </c>
      <c r="M53" s="125">
        <f t="shared" ca="1" si="39"/>
        <v>461030</v>
      </c>
      <c r="N53" s="125">
        <f t="shared" ca="1" si="39"/>
        <v>382300.47</v>
      </c>
      <c r="O53" s="124">
        <f t="shared" ref="O53:O55" ca="1" si="40">IF(L53&gt;0,N53*100/L53,0)</f>
        <v>109.22870571428571</v>
      </c>
      <c r="P53" s="124">
        <f t="shared" ref="P53:P55" ca="1" si="41">IF(M53&gt;0,N53*100/M53,0)</f>
        <v>82.92312213955708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350000</v>
      </c>
      <c r="M55" s="125">
        <f t="shared" ca="1" si="43"/>
        <v>461030</v>
      </c>
      <c r="N55" s="125">
        <f t="shared" ca="1" si="43"/>
        <v>382300.47</v>
      </c>
      <c r="O55" s="124">
        <f t="shared" ca="1" si="40"/>
        <v>109.22870571428571</v>
      </c>
      <c r="P55" s="124">
        <f t="shared" ca="1" si="41"/>
        <v>82.92312213955708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350000</v>
      </c>
      <c r="M57" s="91">
        <f ca="1">IFERROR(__xludf.DUMMYFUNCTION("IMPORTRANGE(""https://docs.google.com/spreadsheets/d/1Yj_ptqi66GCucihVvJfMjLAmec39IyEx_6qawtMGysU/edit?usp=sharing"",""สบก!Z86"")"),461030)</f>
        <v>461030</v>
      </c>
      <c r="N57" s="91">
        <f ca="1">IFERROR(__xludf.DUMMYFUNCTION("IMPORTRANGE(""https://docs.google.com/spreadsheets/d/1Yj_ptqi66GCucihVvJfMjLAmec39IyEx_6qawtMGysU/edit?usp=sharing"",""สบก!AA86"")"),382300.47)</f>
        <v>382300.47</v>
      </c>
      <c r="O57" s="92">
        <f ca="1">IF(L57&gt;0,N57*100/L57,0)</f>
        <v>109.22870571428571</v>
      </c>
      <c r="P57" s="92">
        <f ca="1">IF(M57&gt;0,N57*100/M57,0)</f>
        <v>82.92312213955708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IFERROR(__xludf.DUMMYFUNCTION("IMPORTRANGE(""https://docs.google.com/spreadsheets/d/1Yj_ptqi66GCucihVvJfMjLAmec39IyEx_6qawtMGysU/edit?usp=sharing"",""สบก!V86"")"),350000)</f>
        <v>350000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IFERROR(__xludf.DUMMYFUNCTION("IMPORTRANGE(""https://docs.google.com/spreadsheets/d/1Yj_ptqi66GCucihVvJfMjLAmec39IyEx_6qawtMGysU/edit?usp=sharing"",""สบก!AI86"")"),0)</f>
        <v>0</v>
      </c>
      <c r="N70" s="174">
        <f ca="1">IFERROR(__xludf.DUMMYFUNCTION("IMPORTRANGE(""https://docs.google.com/spreadsheets/d/1Yj_ptqi66GCucihVvJfMjLAmec39IyEx_6qawtMGysU/edit?usp=sharing"",""สบก!AJ86"")"),0)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IFERROR(__xludf.DUMMYFUNCTION("IMPORTRANGE(""https://docs.google.com/spreadsheets/d/1Yj_ptqi66GCucihVvJfMjLAmec39IyEx_6qawtMGysU/edit?usp=sharing"",""สบก!AE86"")"),0)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IFERROR(__xludf.DUMMYFUNCTION("IMPORTRANGE(""https://docs.google.com/spreadsheets/d/1Yj_ptqi66GCucihVvJfMjLAmec39IyEx_6qawtMGysU/edit?usp=sharing"",""สบก!AF86"")"),0)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IFERROR(__xludf.DUMMYFUNCTION("IMPORTRANGE(""https://docs.google.com/spreadsheets/d/1IYY_tgx_IHuhSq3AJ5eI5OnqOPBNLWSHKh2a30DoXe8/edit?usp=sharing"",""ปัตตานี!J16"")"),0)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IFERROR(__xludf.DUMMYFUNCTION("IMPORTRANGE(""https://docs.google.com/spreadsheets/d/1IYY_tgx_IHuhSq3AJ5eI5OnqOPBNLWSHKh2a30DoXe8/edit?usp=sharing"",""ปัตตานี!J17"")"),0)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IFERROR(__xludf.DUMMYFUNCTION("IMPORTRANGE(""https://docs.google.com/spreadsheets/d/1IYY_tgx_IHuhSq3AJ5eI5OnqOPBNLWSHKh2a30DoXe8/edit?usp=sharing"",""ปัตตานี!J18"")"),0)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IFERROR(__xludf.DUMMYFUNCTION("IMPORTRANGE(""https://docs.google.com/spreadsheets/d/1IYY_tgx_IHuhSq3AJ5eI5OnqOPBNLWSHKh2a30DoXe8/edit?usp=sharing"",""ปัตตานี!J19"")"),0)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IFERROR(__xludf.DUMMYFUNCTION("IMPORTRANGE(""https://docs.google.com/spreadsheets/d/1IYY_tgx_IHuhSq3AJ5eI5OnqOPBNLWSHKh2a30DoXe8/edit?usp=sharing"",""ปัตตานี!I20"")"),0)</f>
        <v>0</v>
      </c>
      <c r="J80" s="207">
        <f ca="1">IFERROR(__xludf.DUMMYFUNCTION("IMPORTRANGE(""https://docs.google.com/spreadsheets/d/1IYY_tgx_IHuhSq3AJ5eI5OnqOPBNLWSHKh2a30DoXe8/edit?usp=sharing"",""ปัตตานี!J20"")"),0)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IFERROR(__xludf.DUMMYFUNCTION("IMPORTRANGE(""https://docs.google.com/spreadsheets/d/1IYY_tgx_IHuhSq3AJ5eI5OnqOPBNLWSHKh2a30DoXe8/edit?usp=sharing"",""ปัตตานี!I21"")"),0)</f>
        <v>0</v>
      </c>
      <c r="J81" s="207">
        <f ca="1">IFERROR(__xludf.DUMMYFUNCTION("IMPORTRANGE(""https://docs.google.com/spreadsheets/d/1IYY_tgx_IHuhSq3AJ5eI5OnqOPBNLWSHKh2a30DoXe8/edit?usp=sharing"",""ปัตตานี!J21"")"),0)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IFERROR(__xludf.DUMMYFUNCTION("IMPORTRANGE(""https://docs.google.com/spreadsheets/d/1IYY_tgx_IHuhSq3AJ5eI5OnqOPBNLWSHKh2a30DoXe8/edit?usp=sharing"",""ปัตตานี!I22"")"),0)</f>
        <v>0</v>
      </c>
      <c r="J82" s="210">
        <f ca="1">IFERROR(__xludf.DUMMYFUNCTION("IMPORTRANGE(""https://docs.google.com/spreadsheets/d/1IYY_tgx_IHuhSq3AJ5eI5OnqOPBNLWSHKh2a30DoXe8/edit?usp=sharing"",""ปัตตานี!J22"")"),0)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IFERROR(__xludf.DUMMYFUNCTION("IMPORTRANGE(""https://docs.google.com/spreadsheets/d/1IYY_tgx_IHuhSq3AJ5eI5OnqOPBNLWSHKh2a30DoXe8/edit?usp=sharing"",""ปัตตานี!I23"")"),0)</f>
        <v>0</v>
      </c>
      <c r="J83" s="210">
        <f ca="1">IFERROR(__xludf.DUMMYFUNCTION("IMPORTRANGE(""https://docs.google.com/spreadsheets/d/1IYY_tgx_IHuhSq3AJ5eI5OnqOPBNLWSHKh2a30DoXe8/edit?usp=sharing"",""ปัตตานี!J23"")"),0)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IFERROR(__xludf.DUMMYFUNCTION("IMPORTRANGE(""https://docs.google.com/spreadsheets/d/1IYY_tgx_IHuhSq3AJ5eI5OnqOPBNLWSHKh2a30DoXe8/edit?usp=sharing"",""ปัตตานี!I24"")"),0)</f>
        <v>0</v>
      </c>
      <c r="J84" s="195">
        <f ca="1">IFERROR(__xludf.DUMMYFUNCTION("IMPORTRANGE(""https://docs.google.com/spreadsheets/d/1IYY_tgx_IHuhSq3AJ5eI5OnqOPBNLWSHKh2a30DoXe8/edit?usp=sharing"",""ปัตตานี!J24"")"),0)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IFERROR(__xludf.DUMMYFUNCTION("IMPORTRANGE(""https://docs.google.com/spreadsheets/d/1IYY_tgx_IHuhSq3AJ5eI5OnqOPBNLWSHKh2a30DoXe8/edit?usp=sharing"",""ปัตตานี!I25"")"),0)</f>
        <v>0</v>
      </c>
      <c r="J85" s="195">
        <f ca="1">IFERROR(__xludf.DUMMYFUNCTION("IMPORTRANGE(""https://docs.google.com/spreadsheets/d/1IYY_tgx_IHuhSq3AJ5eI5OnqOPBNLWSHKh2a30DoXe8/edit?usp=sharing"",""ปัตตานี!J25"")"),0)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IFERROR(__xludf.DUMMYFUNCTION("IMPORTRANGE(""https://docs.google.com/spreadsheets/d/1IYY_tgx_IHuhSq3AJ5eI5OnqOPBNLWSHKh2a30DoXe8/edit?usp=sharing"",""ปัตตานี!I26"")"),0)</f>
        <v>0</v>
      </c>
      <c r="J86" s="210">
        <f ca="1">IFERROR(__xludf.DUMMYFUNCTION("IMPORTRANGE(""https://docs.google.com/spreadsheets/d/1IYY_tgx_IHuhSq3AJ5eI5OnqOPBNLWSHKh2a30DoXe8/edit?usp=sharing"",""ปัตตานี!J26"")"),0)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IFERROR(__xludf.DUMMYFUNCTION("IMPORTRANGE(""https://docs.google.com/spreadsheets/d/1IYY_tgx_IHuhSq3AJ5eI5OnqOPBNLWSHKh2a30DoXe8/edit?usp=sharing"",""ปัตตานี!I27"")"),0)</f>
        <v>0</v>
      </c>
      <c r="J87" s="210">
        <f ca="1">IFERROR(__xludf.DUMMYFUNCTION("IMPORTRANGE(""https://docs.google.com/spreadsheets/d/1IYY_tgx_IHuhSq3AJ5eI5OnqOPBNLWSHKh2a30DoXe8/edit?usp=sharing"",""ปัตตานี!J27"")"),0)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IFERROR(__xludf.DUMMYFUNCTION("IMPORTRANGE(""https://docs.google.com/spreadsheets/d/1IYY_tgx_IHuhSq3AJ5eI5OnqOPBNLWSHKh2a30DoXe8/edit?usp=sharing"",""ปัตตานี!I28"")"),0)</f>
        <v>0</v>
      </c>
      <c r="J88" s="210">
        <f ca="1">IFERROR(__xludf.DUMMYFUNCTION("IMPORTRANGE(""https://docs.google.com/spreadsheets/d/1IYY_tgx_IHuhSq3AJ5eI5OnqOPBNLWSHKh2a30DoXe8/edit?usp=sharing"",""ปัตตานี!J28"")"),0)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IFERROR(__xludf.DUMMYFUNCTION("IMPORTRANGE(""https://docs.google.com/spreadsheets/d/1IYY_tgx_IHuhSq3AJ5eI5OnqOPBNLWSHKh2a30DoXe8/edit?usp=sharing"",""ปัตตานี!J29"")"),0)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IFERROR(__xludf.DUMMYFUNCTION("IMPORTRANGE(""https://docs.google.com/spreadsheets/d/1IYY_tgx_IHuhSq3AJ5eI5OnqOPBNLWSHKh2a30DoXe8/edit?usp=sharing"",""ปัตตานี!J30"")"),0)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IFERROR(__xludf.DUMMYFUNCTION("IMPORTRANGE(""https://docs.google.com/spreadsheets/d/1Yj_ptqi66GCucihVvJfMjLAmec39IyEx_6qawtMGysU/edit?usp=sharing"",""สบก!AR86"")"),0)</f>
        <v>0</v>
      </c>
      <c r="N98" s="174">
        <f ca="1">IFERROR(__xludf.DUMMYFUNCTION("IMPORTRANGE(""https://docs.google.com/spreadsheets/d/1Yj_ptqi66GCucihVvJfMjLAmec39IyEx_6qawtMGysU/edit?usp=sharing"",""สบก!AS86"")"),0)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IFERROR(__xludf.DUMMYFUNCTION("IMPORTRANGE(""https://docs.google.com/spreadsheets/d/1Yj_ptqi66GCucihVvJfMjLAmec39IyEx_6qawtMGysU/edit?usp=sharing"",""สบก!AN86"")"),0)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IFERROR(__xludf.DUMMYFUNCTION("IMPORTRANGE(""https://docs.google.com/spreadsheets/d/1Yj_ptqi66GCucihVvJfMjLAmec39IyEx_6qawtMGysU/edit?usp=sharing"",""สบก!AO86"")"),0)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IFERROR(__xludf.DUMMYFUNCTION("IMPORTRANGE(""https://docs.google.com/spreadsheets/d/1IYY_tgx_IHuhSq3AJ5eI5OnqOPBNLWSHKh2a30DoXe8/edit?usp=sharing"",""ปัตตานี!J39"")"),0)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IFERROR(__xludf.DUMMYFUNCTION("IMPORTRANGE(""https://docs.google.com/spreadsheets/d/1IYY_tgx_IHuhSq3AJ5eI5OnqOPBNLWSHKh2a30DoXe8/edit?usp=sharing"",""ปัตตานี!J40"")"),0)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IFERROR(__xludf.DUMMYFUNCTION("IMPORTRANGE(""https://docs.google.com/spreadsheets/d/1IYY_tgx_IHuhSq3AJ5eI5OnqOPBNLWSHKh2a30DoXe8/edit?usp=sharing"",""ปัตตานี!J41"")"),0)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IFERROR(__xludf.DUMMYFUNCTION("IMPORTRANGE(""https://docs.google.com/spreadsheets/d/1IYY_tgx_IHuhSq3AJ5eI5OnqOPBNLWSHKh2a30DoXe8/edit?usp=sharing"",""ปัตตานี!J42"")"),0)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IFERROR(__xludf.DUMMYFUNCTION("IMPORTRANGE(""https://docs.google.com/spreadsheets/d/1IYY_tgx_IHuhSq3AJ5eI5OnqOPBNLWSHKh2a30DoXe8/edit?usp=sharing"",""ปัตตานี!I43"")"),0)</f>
        <v>0</v>
      </c>
      <c r="J108" s="210">
        <f ca="1">IFERROR(__xludf.DUMMYFUNCTION("IMPORTRANGE(""https://docs.google.com/spreadsheets/d/1IYY_tgx_IHuhSq3AJ5eI5OnqOPBNLWSHKh2a30DoXe8/edit?usp=sharing"",""ปัตตานี!J43"")"),0)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IFERROR(__xludf.DUMMYFUNCTION("IMPORTRANGE(""https://docs.google.com/spreadsheets/d/1IYY_tgx_IHuhSq3AJ5eI5OnqOPBNLWSHKh2a30DoXe8/edit?usp=sharing"",""ปัตตานี!I44"")"),0)</f>
        <v>0</v>
      </c>
      <c r="J109" s="210">
        <f ca="1">IFERROR(__xludf.DUMMYFUNCTION("IMPORTRANGE(""https://docs.google.com/spreadsheets/d/1IYY_tgx_IHuhSq3AJ5eI5OnqOPBNLWSHKh2a30DoXe8/edit?usp=sharing"",""ปัตตานี!J44"")"),0)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IFERROR(__xludf.DUMMYFUNCTION("IMPORTRANGE(""https://docs.google.com/spreadsheets/d/1IYY_tgx_IHuhSq3AJ5eI5OnqOPBNLWSHKh2a30DoXe8/edit?usp=sharing"",""ปัตตานี!I45"")"),0)</f>
        <v>0</v>
      </c>
      <c r="J110" s="210">
        <f ca="1">IFERROR(__xludf.DUMMYFUNCTION("IMPORTRANGE(""https://docs.google.com/spreadsheets/d/1IYY_tgx_IHuhSq3AJ5eI5OnqOPBNLWSHKh2a30DoXe8/edit?usp=sharing"",""ปัตตานี!J45"")"),0)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IFERROR(__xludf.DUMMYFUNCTION("IMPORTRANGE(""https://docs.google.com/spreadsheets/d/1IYY_tgx_IHuhSq3AJ5eI5OnqOPBNLWSHKh2a30DoXe8/edit?usp=sharing"",""ปัตตานี!I46"")"),0)</f>
        <v>0</v>
      </c>
      <c r="J111" s="210">
        <f ca="1">IFERROR(__xludf.DUMMYFUNCTION("IMPORTRANGE(""https://docs.google.com/spreadsheets/d/1IYY_tgx_IHuhSq3AJ5eI5OnqOPBNLWSHKh2a30DoXe8/edit?usp=sharing"",""ปัตตานี!J46"")"),0)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IFERROR(__xludf.DUMMYFUNCTION("IMPORTRANGE(""https://docs.google.com/spreadsheets/d/1IYY_tgx_IHuhSq3AJ5eI5OnqOPBNLWSHKh2a30DoXe8/edit?usp=sharing"",""ปัตตานี!I47"")"),0)</f>
        <v>0</v>
      </c>
      <c r="J112" s="210">
        <f ca="1">IFERROR(__xludf.DUMMYFUNCTION("IMPORTRANGE(""https://docs.google.com/spreadsheets/d/1IYY_tgx_IHuhSq3AJ5eI5OnqOPBNLWSHKh2a30DoXe8/edit?usp=sharing"",""ปัตตานี!J47"")"),0)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IFERROR(__xludf.DUMMYFUNCTION("IMPORTRANGE(""https://docs.google.com/spreadsheets/d/1IYY_tgx_IHuhSq3AJ5eI5OnqOPBNLWSHKh2a30DoXe8/edit?usp=sharing"",""ปัตตานี!I48"")"),0)</f>
        <v>0</v>
      </c>
      <c r="J113" s="210">
        <f ca="1">IFERROR(__xludf.DUMMYFUNCTION("IMPORTRANGE(""https://docs.google.com/spreadsheets/d/1IYY_tgx_IHuhSq3AJ5eI5OnqOPBNLWSHKh2a30DoXe8/edit?usp=sharing"",""ปัตตานี!J48"")"),0)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IFERROR(__xludf.DUMMYFUNCTION("IMPORTRANGE(""https://docs.google.com/spreadsheets/d/1IYY_tgx_IHuhSq3AJ5eI5OnqOPBNLWSHKh2a30DoXe8/edit?usp=sharing"",""ปัตตานี!J49"")"),0)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IFERROR(__xludf.DUMMYFUNCTION("IMPORTRANGE(""https://docs.google.com/spreadsheets/d/1IYY_tgx_IHuhSq3AJ5eI5OnqOPBNLWSHKh2a30DoXe8/edit?usp=sharing"",""ปัตตานี!J50"")"),0)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IFERROR(__xludf.DUMMYFUNCTION("IMPORTRANGE(""https://docs.google.com/spreadsheets/d/1Yj_ptqi66GCucihVvJfMjLAmec39IyEx_6qawtMGysU/edit?usp=sharing"",""สบก!BA86"")"),0)</f>
        <v>0</v>
      </c>
      <c r="N122" s="174">
        <f ca="1">IFERROR(__xludf.DUMMYFUNCTION("IMPORTRANGE(""https://docs.google.com/spreadsheets/d/1Yj_ptqi66GCucihVvJfMjLAmec39IyEx_6qawtMGysU/edit?usp=sharing"",""สบก!BB86"")"),0)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IFERROR(__xludf.DUMMYFUNCTION("IMPORTRANGE(""https://docs.google.com/spreadsheets/d/1Yj_ptqi66GCucihVvJfMjLAmec39IyEx_6qawtMGysU/edit?usp=sharing"",""สบก!AW86"")"),0)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IFERROR(__xludf.DUMMYFUNCTION("IMPORTRANGE(""https://docs.google.com/spreadsheets/d/1Yj_ptqi66GCucihVvJfMjLAmec39IyEx_6qawtMGysU/edit?usp=sharing"",""สบก!AX86"")"),0)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272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IFERROR(__xludf.DUMMYFUNCTION("IMPORTRANGE(""https://docs.google.com/spreadsheets/d/1IYY_tgx_IHuhSq3AJ5eI5OnqOPBNLWSHKh2a30DoXe8/edit?usp=sharing"",""ปัตตานี!J58"")"),0)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IFERROR(__xludf.DUMMYFUNCTION("IMPORTRANGE(""https://docs.google.com/spreadsheets/d/1IYY_tgx_IHuhSq3AJ5eI5OnqOPBNLWSHKh2a30DoXe8/edit?usp=sharing"",""ปัตตานี!J59"")"),0)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IFERROR(__xludf.DUMMYFUNCTION("IMPORTRANGE(""https://docs.google.com/spreadsheets/d/1IYY_tgx_IHuhSq3AJ5eI5OnqOPBNLWSHKh2a30DoXe8/edit?usp=sharing"",""ปัตตานี!J60"")"),0)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IFERROR(__xludf.DUMMYFUNCTION("IMPORTRANGE(""https://docs.google.com/spreadsheets/d/1IYY_tgx_IHuhSq3AJ5eI5OnqOPBNLWSHKh2a30DoXe8/edit?usp=sharing"",""ปัตตานี!J61"")"),0)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IFERROR(__xludf.DUMMYFUNCTION("IMPORTRANGE(""https://docs.google.com/spreadsheets/d/1IYY_tgx_IHuhSq3AJ5eI5OnqOPBNLWSHKh2a30DoXe8/edit?usp=sharing"",""ปัตตานี!I62"")"),0)</f>
        <v>0</v>
      </c>
      <c r="J132" s="210">
        <f ca="1">IFERROR(__xludf.DUMMYFUNCTION("IMPORTRANGE(""https://docs.google.com/spreadsheets/d/1IYY_tgx_IHuhSq3AJ5eI5OnqOPBNLWSHKh2a30DoXe8/edit?usp=sharing"",""ปัตตานี!J62"")"),0)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IFERROR(__xludf.DUMMYFUNCTION("IMPORTRANGE(""https://docs.google.com/spreadsheets/d/1IYY_tgx_IHuhSq3AJ5eI5OnqOPBNLWSHKh2a30DoXe8/edit?usp=sharing"",""ปัตตานี!I63"")"),0)</f>
        <v>0</v>
      </c>
      <c r="J133" s="210">
        <f ca="1">IFERROR(__xludf.DUMMYFUNCTION("IMPORTRANGE(""https://docs.google.com/spreadsheets/d/1IYY_tgx_IHuhSq3AJ5eI5OnqOPBNLWSHKh2a30DoXe8/edit?usp=sharing"",""ปัตตานี!J63"")"),0)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IFERROR(__xludf.DUMMYFUNCTION("IMPORTRANGE(""https://docs.google.com/spreadsheets/d/1IYY_tgx_IHuhSq3AJ5eI5OnqOPBNLWSHKh2a30DoXe8/edit?usp=sharing"",""ปัตตานี!J64"")"),0)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IFERROR(__xludf.DUMMYFUNCTION("IMPORTRANGE(""https://docs.google.com/spreadsheets/d/1IYY_tgx_IHuhSq3AJ5eI5OnqOPBNLWSHKh2a30DoXe8/edit?usp=sharing"",""ปัตตานี!J65"")"),0)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IFERROR(__xludf.DUMMYFUNCTION("IMPORTRANGE(""https://docs.google.com/spreadsheets/d/1IYY_tgx_IHuhSq3AJ5eI5OnqOPBNLWSHKh2a30DoXe8/edit?usp=sharing"",""ปัตตานี!I68"")"),15)</f>
        <v>15</v>
      </c>
      <c r="J138" s="273">
        <f ca="1">IFERROR(__xludf.DUMMYFUNCTION("IMPORTRANGE(""https://docs.google.com/spreadsheets/d/1IYY_tgx_IHuhSq3AJ5eI5OnqOPBNLWSHKh2a30DoXe8/edit?usp=sharing"",""ปัตตานี!J68"")"),15)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376600</v>
      </c>
      <c r="M140" s="156">
        <f t="shared" ca="1" si="64"/>
        <v>376600</v>
      </c>
      <c r="N140" s="156">
        <f t="shared" ca="1" si="64"/>
        <v>307470.40999999997</v>
      </c>
      <c r="O140" s="155">
        <f t="shared" ref="O140:O142" ca="1" si="65">IF(L140&gt;0,N140*100/L140,0)</f>
        <v>81.643762612851816</v>
      </c>
      <c r="P140" s="155">
        <f t="shared" ref="P140:P142" ca="1" si="66">IF(M140&gt;0,N140*100/M140,0)</f>
        <v>81.643762612851816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376600</v>
      </c>
      <c r="M142" s="161">
        <f t="shared" ca="1" si="68"/>
        <v>376600</v>
      </c>
      <c r="N142" s="161">
        <f t="shared" ca="1" si="68"/>
        <v>307470.40999999997</v>
      </c>
      <c r="O142" s="160">
        <f t="shared" ca="1" si="65"/>
        <v>81.643762612851816</v>
      </c>
      <c r="P142" s="160">
        <f t="shared" ca="1" si="66"/>
        <v>81.643762612851816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376600</v>
      </c>
      <c r="M144" s="173">
        <f ca="1">IFERROR(__xludf.DUMMYFUNCTION("IMPORTRANGE(""https://docs.google.com/spreadsheets/d/1Yj_ptqi66GCucihVvJfMjLAmec39IyEx_6qawtMGysU/edit?usp=sharing"",""สบก!BJ86"")"),376600)</f>
        <v>376600</v>
      </c>
      <c r="N144" s="174">
        <f ca="1">IFERROR(__xludf.DUMMYFUNCTION("IMPORTRANGE(""https://docs.google.com/spreadsheets/d/1Yj_ptqi66GCucihVvJfMjLAmec39IyEx_6qawtMGysU/edit?usp=sharing"",""สบก!BK86"")"),307470.41)</f>
        <v>307470.40999999997</v>
      </c>
      <c r="O144" s="175">
        <f ca="1">IF(L144&gt;0,N144*100/L144,0)</f>
        <v>81.643762612851816</v>
      </c>
      <c r="P144" s="175">
        <f ca="1">IF(M144&gt;0,N144*100/M144,0)</f>
        <v>81.643762612851816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IFERROR(__xludf.DUMMYFUNCTION("IMPORTRANGE(""https://docs.google.com/spreadsheets/d/1Yj_ptqi66GCucihVvJfMjLAmec39IyEx_6qawtMGysU/edit?usp=sharing"",""สบก!BF86"")"),318000)</f>
        <v>318000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IFERROR(__xludf.DUMMYFUNCTION("IMPORTRANGE(""https://docs.google.com/spreadsheets/d/1Yj_ptqi66GCucihVvJfMjLAmec39IyEx_6qawtMGysU/edit?usp=sharing"",""สบก!BG86"")"),58600)</f>
        <v>58600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IFERROR(__xludf.DUMMYFUNCTION("IMPORTRANGE(""https://docs.google.com/spreadsheets/d/1IYY_tgx_IHuhSq3AJ5eI5OnqOPBNLWSHKh2a30DoXe8/edit?usp=sharing"",""ปัตตานี!I74"")"),4)</f>
        <v>4</v>
      </c>
      <c r="J149" s="281">
        <f ca="1">IFERROR(__xludf.DUMMYFUNCTION("IMPORTRANGE(""https://docs.google.com/spreadsheets/d/1IYY_tgx_IHuhSq3AJ5eI5OnqOPBNLWSHKh2a30DoXe8/edit?usp=sharing"",""ปัตตานี!J74"")"),3)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IFERROR(__xludf.DUMMYFUNCTION("IMPORTRANGE(""https://docs.google.com/spreadsheets/d/1IYY_tgx_IHuhSq3AJ5eI5OnqOPBNLWSHKh2a30DoXe8/edit?usp=sharing"",""ปัตตานี!J79"")"),0)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IFERROR(__xludf.DUMMYFUNCTION("IMPORTRANGE(""https://docs.google.com/spreadsheets/d/1IYY_tgx_IHuhSq3AJ5eI5OnqOPBNLWSHKh2a30DoXe8/edit?usp=sharing"",""ปัตตานี!J80"")"),1)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IFERROR(__xludf.DUMMYFUNCTION("IMPORTRANGE(""https://docs.google.com/spreadsheets/d/1IYY_tgx_IHuhSq3AJ5eI5OnqOPBNLWSHKh2a30DoXe8/edit?usp=sharing"",""ปัตตานี!J81"")"),1)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IFERROR(__xludf.DUMMYFUNCTION("IMPORTRANGE(""https://docs.google.com/spreadsheets/d/1IYY_tgx_IHuhSq3AJ5eI5OnqOPBNLWSHKh2a30DoXe8/edit?usp=sharing"",""ปัตตานี!J82"")"),1)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IFERROR(__xludf.DUMMYFUNCTION("IMPORTRANGE(""https://docs.google.com/spreadsheets/d/1IYY_tgx_IHuhSq3AJ5eI5OnqOPBNLWSHKh2a30DoXe8/edit?usp=sharing"",""ปัตตานี!I83"")"),4)</f>
        <v>4</v>
      </c>
      <c r="J158" s="195">
        <f ca="1">IFERROR(__xludf.DUMMYFUNCTION("IMPORTRANGE(""https://docs.google.com/spreadsheets/d/1IYY_tgx_IHuhSq3AJ5eI5OnqOPBNLWSHKh2a30DoXe8/edit?usp=sharing"",""ปัตตานี!J83"")"),3)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IFERROR(__xludf.DUMMYFUNCTION("IMPORTRANGE(""https://docs.google.com/spreadsheets/d/1IYY_tgx_IHuhSq3AJ5eI5OnqOPBNLWSHKh2a30DoXe8/edit?usp=sharing"",""ปัตตานี!J84"")"),163)</f>
        <v>163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IFERROR(__xludf.DUMMYFUNCTION("IMPORTRANGE(""https://docs.google.com/spreadsheets/d/1IYY_tgx_IHuhSq3AJ5eI5OnqOPBNLWSHKh2a30DoXe8/edit?usp=sharing"",""ปัตตานี!J85"")"),163)</f>
        <v>163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IFERROR(__xludf.DUMMYFUNCTION("IMPORTRANGE(""https://docs.google.com/spreadsheets/d/1IYY_tgx_IHuhSq3AJ5eI5OnqOPBNLWSHKh2a30DoXe8/edit?usp=sharing"",""ปัตตานี!J87"")"),0)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IFERROR(__xludf.DUMMYFUNCTION("IMPORTRANGE(""https://docs.google.com/spreadsheets/d/1IYY_tgx_IHuhSq3AJ5eI5OnqOPBNLWSHKh2a30DoXe8/edit?usp=sharing"",""ปัตตานี!J88"")"),0)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IFERROR(__xludf.DUMMYFUNCTION("IMPORTRANGE(""https://docs.google.com/spreadsheets/d/1IYY_tgx_IHuhSq3AJ5eI5OnqOPBNLWSHKh2a30DoXe8/edit?usp=sharing"",""ปัตตานี!J94"")"),0)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IFERROR(__xludf.DUMMYFUNCTION("IMPORTRANGE(""https://docs.google.com/spreadsheets/d/1IYY_tgx_IHuhSq3AJ5eI5OnqOPBNLWSHKh2a30DoXe8/edit?usp=sharing"",""ปัตตานี!J95"")"),1)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IFERROR(__xludf.DUMMYFUNCTION("IMPORTRANGE(""https://docs.google.com/spreadsheets/d/1IYY_tgx_IHuhSq3AJ5eI5OnqOPBNLWSHKh2a30DoXe8/edit?usp=sharing"",""ปัตตานี!J96"")"),1)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IFERROR(__xludf.DUMMYFUNCTION("IMPORTRANGE(""https://docs.google.com/spreadsheets/d/1IYY_tgx_IHuhSq3AJ5eI5OnqOPBNLWSHKh2a30DoXe8/edit?usp=sharing"",""ปัตตานี!J97"")"),1)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IFERROR(__xludf.DUMMYFUNCTION("IMPORTRANGE(""https://docs.google.com/spreadsheets/d/1IYY_tgx_IHuhSq3AJ5eI5OnqOPBNLWSHKh2a30DoXe8/edit?usp=sharing"",""ปัตตานี!I98"")"),2)</f>
        <v>2</v>
      </c>
      <c r="J173" s="195">
        <f ca="1">IFERROR(__xludf.DUMMYFUNCTION("IMPORTRANGE(""https://docs.google.com/spreadsheets/d/1IYY_tgx_IHuhSq3AJ5eI5OnqOPBNLWSHKh2a30DoXe8/edit?usp=sharing"",""ปัตตานี!J98"")"),2)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IFERROR(__xludf.DUMMYFUNCTION("IMPORTRANGE(""https://docs.google.com/spreadsheets/d/1IYY_tgx_IHuhSq3AJ5eI5OnqOPBNLWSHKh2a30DoXe8/edit?usp=sharing"",""ปัตตานี!J99"")"),0)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IFERROR(__xludf.DUMMYFUNCTION("IMPORTRANGE(""https://docs.google.com/spreadsheets/d/1IYY_tgx_IHuhSq3AJ5eI5OnqOPBNLWSHKh2a30DoXe8/edit?usp=sharing"",""ปัตตานี!J100"")"),0)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IFERROR(__xludf.DUMMYFUNCTION("IMPORTRANGE(""https://docs.google.com/spreadsheets/d/1IYY_tgx_IHuhSq3AJ5eI5OnqOPBNLWSHKh2a30DoXe8/edit?usp=sharing"",""ปัตตานี!J106"")"),0)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IFERROR(__xludf.DUMMYFUNCTION("IMPORTRANGE(""https://docs.google.com/spreadsheets/d/1IYY_tgx_IHuhSq3AJ5eI5OnqOPBNLWSHKh2a30DoXe8/edit?usp=sharing"",""ปัตตานี!J107"")"),0)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IFERROR(__xludf.DUMMYFUNCTION("IMPORTRANGE(""https://docs.google.com/spreadsheets/d/1IYY_tgx_IHuhSq3AJ5eI5OnqOPBNLWSHKh2a30DoXe8/edit?usp=sharing"",""ปัตตานี!J108"")"),0)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IFERROR(__xludf.DUMMYFUNCTION("IMPORTRANGE(""https://docs.google.com/spreadsheets/d/1IYY_tgx_IHuhSq3AJ5eI5OnqOPBNLWSHKh2a30DoXe8/edit?usp=sharing"",""ปัตตานี!J109"")"),0)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IFERROR(__xludf.DUMMYFUNCTION("IMPORTRANGE(""https://docs.google.com/spreadsheets/d/1IYY_tgx_IHuhSq3AJ5eI5OnqOPBNLWSHKh2a30DoXe8/edit?usp=sharing"",""ปัตตานี!I110"")"),0)</f>
        <v>0</v>
      </c>
      <c r="J185" s="210">
        <f ca="1">IFERROR(__xludf.DUMMYFUNCTION("IMPORTRANGE(""https://docs.google.com/spreadsheets/d/1IYY_tgx_IHuhSq3AJ5eI5OnqOPBNLWSHKh2a30DoXe8/edit?usp=sharing"",""ปัตตานี!J110"")"),0)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IFERROR(__xludf.DUMMYFUNCTION("IMPORTRANGE(""https://docs.google.com/spreadsheets/d/1IYY_tgx_IHuhSq3AJ5eI5OnqOPBNLWSHKh2a30DoXe8/edit?usp=sharing"",""ปัตตานี!I111"")"),0)</f>
        <v>0</v>
      </c>
      <c r="J186" s="210">
        <f ca="1">IFERROR(__xludf.DUMMYFUNCTION("IMPORTRANGE(""https://docs.google.com/spreadsheets/d/1IYY_tgx_IHuhSq3AJ5eI5OnqOPBNLWSHKh2a30DoXe8/edit?usp=sharing"",""ปัตตานี!J111"")"),0)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IFERROR(__xludf.DUMMYFUNCTION("IMPORTRANGE(""https://docs.google.com/spreadsheets/d/1IYY_tgx_IHuhSq3AJ5eI5OnqOPBNLWSHKh2a30DoXe8/edit?usp=sharing"",""ปัตตานี!J112"")"),0)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IFERROR(__xludf.DUMMYFUNCTION("IMPORTRANGE(""https://docs.google.com/spreadsheets/d/1IYY_tgx_IHuhSq3AJ5eI5OnqOPBNLWSHKh2a30DoXe8/edit?usp=sharing"",""ปัตตานี!J113"")"),0)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IFERROR(__xludf.DUMMYFUNCTION("IMPORTRANGE(""https://docs.google.com/spreadsheets/d/1IYY_tgx_IHuhSq3AJ5eI5OnqOPBNLWSHKh2a30DoXe8/edit?usp=sharing"",""ปัตตานี!J119"")"),0)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IFERROR(__xludf.DUMMYFUNCTION("IMPORTRANGE(""https://docs.google.com/spreadsheets/d/1IYY_tgx_IHuhSq3AJ5eI5OnqOPBNLWSHKh2a30DoXe8/edit?usp=sharing"",""ปัตตานี!J120"")"),1)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IFERROR(__xludf.DUMMYFUNCTION("IMPORTRANGE(""https://docs.google.com/spreadsheets/d/1IYY_tgx_IHuhSq3AJ5eI5OnqOPBNLWSHKh2a30DoXe8/edit?usp=sharing"",""ปัตตานี!J121"")"),1)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IFERROR(__xludf.DUMMYFUNCTION("IMPORTRANGE(""https://docs.google.com/spreadsheets/d/1IYY_tgx_IHuhSq3AJ5eI5OnqOPBNLWSHKh2a30DoXe8/edit?usp=sharing"",""ปัตตานี!J122"")"),1)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IFERROR(__xludf.DUMMYFUNCTION("IMPORTRANGE(""https://docs.google.com/spreadsheets/d/1IYY_tgx_IHuhSq3AJ5eI5OnqOPBNLWSHKh2a30DoXe8/edit?usp=sharing"",""ปัตตานี!I124"")"),12800)</f>
        <v>12800</v>
      </c>
      <c r="J199" s="195">
        <f ca="1">IFERROR(__xludf.DUMMYFUNCTION("IMPORTRANGE(""https://docs.google.com/spreadsheets/d/1IYY_tgx_IHuhSq3AJ5eI5OnqOPBNLWSHKh2a30DoXe8/edit?usp=sharing"",""ปัตตานี!J124"")"),0)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IFERROR(__xludf.DUMMYFUNCTION("IMPORTRANGE(""https://docs.google.com/spreadsheets/d/1IYY_tgx_IHuhSq3AJ5eI5OnqOPBNLWSHKh2a30DoXe8/edit?usp=sharing"",""ปัตตานี!I125"")"),12800)</f>
        <v>12800</v>
      </c>
      <c r="J200" s="195">
        <f ca="1">IFERROR(__xludf.DUMMYFUNCTION("IMPORTRANGE(""https://docs.google.com/spreadsheets/d/1IYY_tgx_IHuhSq3AJ5eI5OnqOPBNLWSHKh2a30DoXe8/edit?usp=sharing"",""ปัตตานี!J125"")"),0)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IFERROR(__xludf.DUMMYFUNCTION("IMPORTRANGE(""https://docs.google.com/spreadsheets/d/1IYY_tgx_IHuhSq3AJ5eI5OnqOPBNLWSHKh2a30DoXe8/edit?usp=sharing"",""ปัตตานี!I126"")"),15)</f>
        <v>15</v>
      </c>
      <c r="J201" s="195">
        <f ca="1">IFERROR(__xludf.DUMMYFUNCTION("IMPORTRANGE(""https://docs.google.com/spreadsheets/d/1IYY_tgx_IHuhSq3AJ5eI5OnqOPBNLWSHKh2a30DoXe8/edit?usp=sharing"",""ปัตตานี!J126"")"),15)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IFERROR(__xludf.DUMMYFUNCTION("IMPORTRANGE(""https://docs.google.com/spreadsheets/d/1IYY_tgx_IHuhSq3AJ5eI5OnqOPBNLWSHKh2a30DoXe8/edit?usp=sharing"",""ปัตตานี!J127"")"),0)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IFERROR(__xludf.DUMMYFUNCTION("IMPORTRANGE(""https://docs.google.com/spreadsheets/d/1IYY_tgx_IHuhSq3AJ5eI5OnqOPBNLWSHKh2a30DoXe8/edit?usp=sharing"",""ปัตตานี!J128"")"),0)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IFERROR(__xludf.DUMMYFUNCTION("IMPORTRANGE(""https://docs.google.com/spreadsheets/d/1IYY_tgx_IHuhSq3AJ5eI5OnqOPBNLWSHKh2a30DoXe8/edit?usp=sharing"",""ปัตตานี!J134"")"),0)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IFERROR(__xludf.DUMMYFUNCTION("IMPORTRANGE(""https://docs.google.com/spreadsheets/d/1IYY_tgx_IHuhSq3AJ5eI5OnqOPBNLWSHKh2a30DoXe8/edit?usp=sharing"",""ปัตตานี!J135"")"),0)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IFERROR(__xludf.DUMMYFUNCTION("IMPORTRANGE(""https://docs.google.com/spreadsheets/d/1IYY_tgx_IHuhSq3AJ5eI5OnqOPBNLWSHKh2a30DoXe8/edit?usp=sharing"",""ปัตตานี!J136"")"),0)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IFERROR(__xludf.DUMMYFUNCTION("IMPORTRANGE(""https://docs.google.com/spreadsheets/d/1IYY_tgx_IHuhSq3AJ5eI5OnqOPBNLWSHKh2a30DoXe8/edit?usp=sharing"",""ปัตตานี!J137"")"),0)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IFERROR(__xludf.DUMMYFUNCTION("IMPORTRANGE(""https://docs.google.com/spreadsheets/d/1IYY_tgx_IHuhSq3AJ5eI5OnqOPBNLWSHKh2a30DoXe8/edit?usp=sharing"",""ปัตตานี!I138"")"),0)</f>
        <v>0</v>
      </c>
      <c r="J213" s="210">
        <f ca="1">IFERROR(__xludf.DUMMYFUNCTION("IMPORTRANGE(""https://docs.google.com/spreadsheets/d/1IYY_tgx_IHuhSq3AJ5eI5OnqOPBNLWSHKh2a30DoXe8/edit?usp=sharing"",""ปัตตานี!J138"")"),0)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IFERROR(__xludf.DUMMYFUNCTION("IMPORTRANGE(""https://docs.google.com/spreadsheets/d/1IYY_tgx_IHuhSq3AJ5eI5OnqOPBNLWSHKh2a30DoXe8/edit?usp=sharing"",""ปัตตานี!I140"")"),0)</f>
        <v>0</v>
      </c>
      <c r="J215" s="210">
        <f ca="1">IFERROR(__xludf.DUMMYFUNCTION("IMPORTRANGE(""https://docs.google.com/spreadsheets/d/1IYY_tgx_IHuhSq3AJ5eI5OnqOPBNLWSHKh2a30DoXe8/edit?usp=sharing"",""ปัตตานี!J140"")"),0)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IFERROR(__xludf.DUMMYFUNCTION("IMPORTRANGE(""https://docs.google.com/spreadsheets/d/1IYY_tgx_IHuhSq3AJ5eI5OnqOPBNLWSHKh2a30DoXe8/edit?usp=sharing"",""ปัตตานี!I141"")"),0)</f>
        <v>0</v>
      </c>
      <c r="J216" s="210">
        <f ca="1">IFERROR(__xludf.DUMMYFUNCTION("IMPORTRANGE(""https://docs.google.com/spreadsheets/d/1IYY_tgx_IHuhSq3AJ5eI5OnqOPBNLWSHKh2a30DoXe8/edit?usp=sharing"",""ปัตตานี!J141"")"),0)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IFERROR(__xludf.DUMMYFUNCTION("IMPORTRANGE(""https://docs.google.com/spreadsheets/d/1IYY_tgx_IHuhSq3AJ5eI5OnqOPBNLWSHKh2a30DoXe8/edit?usp=sharing"",""ปัตตานี!J142"")"),0)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IFERROR(__xludf.DUMMYFUNCTION("IMPORTRANGE(""https://docs.google.com/spreadsheets/d/1IYY_tgx_IHuhSq3AJ5eI5OnqOPBNLWSHKh2a30DoXe8/edit?usp=sharing"",""ปัตตานี!J143"")"),0)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IFERROR(__xludf.DUMMYFUNCTION("IMPORTRANGE(""https://docs.google.com/spreadsheets/d/1IYY_tgx_IHuhSq3AJ5eI5OnqOPBNLWSHKh2a30DoXe8/edit?usp=sharing"",""ปัตตานี!I144"")"),15)</f>
        <v>15</v>
      </c>
      <c r="J219" s="273">
        <f ca="1">IFERROR(__xludf.DUMMYFUNCTION("IMPORTRANGE(""https://docs.google.com/spreadsheets/d/1IYY_tgx_IHuhSq3AJ5eI5OnqOPBNLWSHKh2a30DoXe8/edit?usp=sharing"",""ปัตตานี!J144"")"),15)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IFERROR(__xludf.DUMMYFUNCTION("IMPORTRANGE(""https://docs.google.com/spreadsheets/d/1Yj_ptqi66GCucihVvJfMjLAmec39IyEx_6qawtMGysU/edit?usp=sharing"",""สบก!BS86"")"),21125)</f>
        <v>21125</v>
      </c>
      <c r="N224" s="174">
        <f ca="1">IFERROR(__xludf.DUMMYFUNCTION("IMPORTRANGE(""https://docs.google.com/spreadsheets/d/1Yj_ptqi66GCucihVvJfMjLAmec39IyEx_6qawtMGysU/edit?usp=sharing"",""สบก!BT86"")"),21125)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IFERROR(__xludf.DUMMYFUNCTION("IMPORTRANGE(""https://docs.google.com/spreadsheets/d/1Yj_ptqi66GCucihVvJfMjLAmec39IyEx_6qawtMGysU/edit?usp=sharing"",""สบก!BO86"")"),0)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IFERROR(__xludf.DUMMYFUNCTION("IMPORTRANGE(""https://docs.google.com/spreadsheets/d/1Yj_ptqi66GCucihVvJfMjLAmec39IyEx_6qawtMGysU/edit?usp=sharing"",""สบก!BP86"")"),21125)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IFERROR(__xludf.DUMMYFUNCTION("IMPORTRANGE(""https://docs.google.com/spreadsheets/d/1IYY_tgx_IHuhSq3AJ5eI5OnqOPBNLWSHKh2a30DoXe8/edit?usp=sharing"",""ปัตตานี!I149"")"),15)</f>
        <v>15</v>
      </c>
      <c r="J229" s="273">
        <f ca="1">IFERROR(__xludf.DUMMYFUNCTION("IMPORTRANGE(""https://docs.google.com/spreadsheets/d/1IYY_tgx_IHuhSq3AJ5eI5OnqOPBNLWSHKh2a30DoXe8/edit?usp=sharing"",""ปัตตานี!J149"")"),15)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IFERROR(__xludf.DUMMYFUNCTION("IMPORTRANGE(""https://docs.google.com/spreadsheets/d/1IYY_tgx_IHuhSq3AJ5eI5OnqOPBNLWSHKh2a30DoXe8/edit?usp=sharing"",""ปัตตานี!J151"")"),0)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IFERROR(__xludf.DUMMYFUNCTION("IMPORTRANGE(""https://docs.google.com/spreadsheets/d/1IYY_tgx_IHuhSq3AJ5eI5OnqOPBNLWSHKh2a30DoXe8/edit?usp=sharing"",""ปัตตานี!J152"")"),1)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IFERROR(__xludf.DUMMYFUNCTION("IMPORTRANGE(""https://docs.google.com/spreadsheets/d/1IYY_tgx_IHuhSq3AJ5eI5OnqOPBNLWSHKh2a30DoXe8/edit?usp=sharing"",""ปัตตานี!J153"")"),1)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IFERROR(__xludf.DUMMYFUNCTION("IMPORTRANGE(""https://docs.google.com/spreadsheets/d/1IYY_tgx_IHuhSq3AJ5eI5OnqOPBNLWSHKh2a30DoXe8/edit?usp=sharing"",""ปัตตานี!J154"")"),1)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IFERROR(__xludf.DUMMYFUNCTION("IMPORTRANGE(""https://docs.google.com/spreadsheets/d/1IYY_tgx_IHuhSq3AJ5eI5OnqOPBNLWSHKh2a30DoXe8/edit?usp=sharing"",""ปัตตานี!I155"")"),15)</f>
        <v>15</v>
      </c>
      <c r="J235" s="195">
        <f ca="1">IFERROR(__xludf.DUMMYFUNCTION("IMPORTRANGE(""https://docs.google.com/spreadsheets/d/1IYY_tgx_IHuhSq3AJ5eI5OnqOPBNLWSHKh2a30DoXe8/edit?usp=sharing"",""ปัตตานี!J155"")"),15)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IFERROR(__xludf.DUMMYFUNCTION("IMPORTRANGE(""https://docs.google.com/spreadsheets/d/1IYY_tgx_IHuhSq3AJ5eI5OnqOPBNLWSHKh2a30DoXe8/edit?usp=sharing"",""ปัตตานี!J156"")"),0)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IFERROR(__xludf.DUMMYFUNCTION("IMPORTRANGE(""https://docs.google.com/spreadsheets/d/1IYY_tgx_IHuhSq3AJ5eI5OnqOPBNLWSHKh2a30DoXe8/edit?usp=sharing"",""ปัตตานี!J157"")"),0)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IFERROR(__xludf.DUMMYFUNCTION("IMPORTRANGE(""https://docs.google.com/spreadsheets/d/1IYY_tgx_IHuhSq3AJ5eI5OnqOPBNLWSHKh2a30DoXe8/edit?usp=sharing"",""ปัตตานี!I158"")"),0)</f>
        <v>0</v>
      </c>
      <c r="J238" s="273">
        <f ca="1">IFERROR(__xludf.DUMMYFUNCTION("IMPORTRANGE(""https://docs.google.com/spreadsheets/d/1IYY_tgx_IHuhSq3AJ5eI5OnqOPBNLWSHKh2a30DoXe8/edit?usp=sharing"",""ปัตตานี!J158"")"),0)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IFERROR(__xludf.DUMMYFUNCTION("IMPORTRANGE(""https://docs.google.com/spreadsheets/d/1IYY_tgx_IHuhSq3AJ5eI5OnqOPBNLWSHKh2a30DoXe8/edit?usp=sharing"",""ปัตตานี!J159"")"),"")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IFERROR(__xludf.DUMMYFUNCTION("IMPORTRANGE(""https://docs.google.com/spreadsheets/d/1IYY_tgx_IHuhSq3AJ5eI5OnqOPBNLWSHKh2a30DoXe8/edit?usp=sharing"",""ปัตตานี!J161"")"),0)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IFERROR(__xludf.DUMMYFUNCTION("IMPORTRANGE(""https://docs.google.com/spreadsheets/d/1IYY_tgx_IHuhSq3AJ5eI5OnqOPBNLWSHKh2a30DoXe8/edit?usp=sharing"",""ปัตตานี!J162"")"),0)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IFERROR(__xludf.DUMMYFUNCTION("IMPORTRANGE(""https://docs.google.com/spreadsheets/d/1IYY_tgx_IHuhSq3AJ5eI5OnqOPBNLWSHKh2a30DoXe8/edit?usp=sharing"",""ปัตตานี!J163"")"),0)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IFERROR(__xludf.DUMMYFUNCTION("IMPORTRANGE(""https://docs.google.com/spreadsheets/d/1IYY_tgx_IHuhSq3AJ5eI5OnqOPBNLWSHKh2a30DoXe8/edit?usp=sharing"",""ปัตตานี!I164"")"),0)</f>
        <v>0</v>
      </c>
      <c r="J244" s="194">
        <f ca="1">IFERROR(__xludf.DUMMYFUNCTION("IMPORTRANGE(""https://docs.google.com/spreadsheets/d/1IYY_tgx_IHuhSq3AJ5eI5OnqOPBNLWSHKh2a30DoXe8/edit?usp=sharing"",""ปัตตานี!J164"")"),0)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IFERROR(__xludf.DUMMYFUNCTION("IMPORTRANGE(""https://docs.google.com/spreadsheets/d/1IYY_tgx_IHuhSq3AJ5eI5OnqOPBNLWSHKh2a30DoXe8/edit?usp=sharing"",""ปัตตานี!J165"")"),0)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IFERROR(__xludf.DUMMYFUNCTION("IMPORTRANGE(""https://docs.google.com/spreadsheets/d/1Yj_ptqi66GCucihVvJfMjLAmec39IyEx_6qawtMGysU/edit?usp=sharing"",""สบก!CB86"")"),0)</f>
        <v>0</v>
      </c>
      <c r="N254" s="174">
        <f ca="1">IFERROR(__xludf.DUMMYFUNCTION("IMPORTRANGE(""https://docs.google.com/spreadsheets/d/1Yj_ptqi66GCucihVvJfMjLAmec39IyEx_6qawtMGysU/edit?usp=sharing"",""สบก!CC86"")"),0)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IFERROR(__xludf.DUMMYFUNCTION("IMPORTRANGE(""https://docs.google.com/spreadsheets/d/1Yj_ptqi66GCucihVvJfMjLAmec39IyEx_6qawtMGysU/edit?usp=sharing"",""สบก!BX86"")"),0)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IFERROR(__xludf.DUMMYFUNCTION("IMPORTRANGE(""https://docs.google.com/spreadsheets/d/1Yj_ptqi66GCucihVvJfMjLAmec39IyEx_6qawtMGysU/edit?usp=sharing"",""สบก!BY86"")"),0)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IFERROR(__xludf.DUMMYFUNCTION("IMPORTRANGE(""https://docs.google.com/spreadsheets/d/1IYY_tgx_IHuhSq3AJ5eI5OnqOPBNLWSHKh2a30DoXe8/edit?usp=sharing"",""ปัตตานี!J175"")"),0)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IFERROR(__xludf.DUMMYFUNCTION("IMPORTRANGE(""https://docs.google.com/spreadsheets/d/1IYY_tgx_IHuhSq3AJ5eI5OnqOPBNLWSHKh2a30DoXe8/edit?usp=sharing"",""ปัตตานี!J176"")"),0)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IFERROR(__xludf.DUMMYFUNCTION("IMPORTRANGE(""https://docs.google.com/spreadsheets/d/1IYY_tgx_IHuhSq3AJ5eI5OnqOPBNLWSHKh2a30DoXe8/edit?usp=sharing"",""ปัตตานี!J177"")"),0)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IFERROR(__xludf.DUMMYFUNCTION("IMPORTRANGE(""https://docs.google.com/spreadsheets/d/1IYY_tgx_IHuhSq3AJ5eI5OnqOPBNLWSHKh2a30DoXe8/edit?usp=sharing"",""ปัตตานี!J178"")"),0)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IFERROR(__xludf.DUMMYFUNCTION("IMPORTRANGE(""https://docs.google.com/spreadsheets/d/1IYY_tgx_IHuhSq3AJ5eI5OnqOPBNLWSHKh2a30DoXe8/edit?usp=sharing"",""ปัตตานี!I179"")"),0)</f>
        <v>0</v>
      </c>
      <c r="J264" s="195">
        <f ca="1">IFERROR(__xludf.DUMMYFUNCTION("IMPORTRANGE(""https://docs.google.com/spreadsheets/d/1IYY_tgx_IHuhSq3AJ5eI5OnqOPBNLWSHKh2a30DoXe8/edit?usp=sharing"",""ปัตตานี!J179"")"),0)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IFERROR(__xludf.DUMMYFUNCTION("IMPORTRANGE(""https://docs.google.com/spreadsheets/d/1IYY_tgx_IHuhSq3AJ5eI5OnqOPBNLWSHKh2a30DoXe8/edit?usp=sharing"",""ปัตตานี!I180"")"),0)</f>
        <v>0</v>
      </c>
      <c r="J265" s="195">
        <f ca="1">IFERROR(__xludf.DUMMYFUNCTION("IMPORTRANGE(""https://docs.google.com/spreadsheets/d/1IYY_tgx_IHuhSq3AJ5eI5OnqOPBNLWSHKh2a30DoXe8/edit?usp=sharing"",""ปัตตานี!J180"")"),0)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IFERROR(__xludf.DUMMYFUNCTION("IMPORTRANGE(""https://docs.google.com/spreadsheets/d/1IYY_tgx_IHuhSq3AJ5eI5OnqOPBNLWSHKh2a30DoXe8/edit?usp=sharing"",""ปัตตานี!I181"")"),0)</f>
        <v>0</v>
      </c>
      <c r="J266" s="195">
        <f ca="1">IFERROR(__xludf.DUMMYFUNCTION("IMPORTRANGE(""https://docs.google.com/spreadsheets/d/1IYY_tgx_IHuhSq3AJ5eI5OnqOPBNLWSHKh2a30DoXe8/edit?usp=sharing"",""ปัตตานี!J181"")"),0)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IFERROR(__xludf.DUMMYFUNCTION("IMPORTRANGE(""https://docs.google.com/spreadsheets/d/1IYY_tgx_IHuhSq3AJ5eI5OnqOPBNLWSHKh2a30DoXe8/edit?usp=sharing"",""ปัตตานี!I182"")"),0)</f>
        <v>0</v>
      </c>
      <c r="J267" s="195">
        <f ca="1">IFERROR(__xludf.DUMMYFUNCTION("IMPORTRANGE(""https://docs.google.com/spreadsheets/d/1IYY_tgx_IHuhSq3AJ5eI5OnqOPBNLWSHKh2a30DoXe8/edit?usp=sharing"",""ปัตตานี!J182"")"),0)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IFERROR(__xludf.DUMMYFUNCTION("IMPORTRANGE(""https://docs.google.com/spreadsheets/d/1IYY_tgx_IHuhSq3AJ5eI5OnqOPBNLWSHKh2a30DoXe8/edit?usp=sharing"",""ปัตตานี!J183"")"),0)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IFERROR(__xludf.DUMMYFUNCTION("IMPORTRANGE(""https://docs.google.com/spreadsheets/d/1Yj_ptqi66GCucihVvJfMjLAmec39IyEx_6qawtMGysU/edit?usp=sharing"",""สบก!CK86"")"),0)</f>
        <v>0</v>
      </c>
      <c r="N275" s="174">
        <f ca="1">IFERROR(__xludf.DUMMYFUNCTION("IMPORTRANGE(""https://docs.google.com/spreadsheets/d/1Yj_ptqi66GCucihVvJfMjLAmec39IyEx_6qawtMGysU/edit?usp=sharing"",""สบก!CL86"")"),0)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IFERROR(__xludf.DUMMYFUNCTION("IMPORTRANGE(""https://docs.google.com/spreadsheets/d/1Yj_ptqi66GCucihVvJfMjLAmec39IyEx_6qawtMGysU/edit?usp=sharing"",""สบก!CG86"")"),0)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IFERROR(__xludf.DUMMYFUNCTION("IMPORTRANGE(""https://docs.google.com/spreadsheets/d/1Yj_ptqi66GCucihVvJfMjLAmec39IyEx_6qawtMGysU/edit?usp=sharing"",""สบก!CH86"")"),0)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IFERROR(__xludf.DUMMYFUNCTION("IMPORTRANGE(""https://docs.google.com/spreadsheets/d/1IYY_tgx_IHuhSq3AJ5eI5OnqOPBNLWSHKh2a30DoXe8/edit?usp=sharing"",""ปัตตานี!J191"")"),0)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IFERROR(__xludf.DUMMYFUNCTION("IMPORTRANGE(""https://docs.google.com/spreadsheets/d/1IYY_tgx_IHuhSq3AJ5eI5OnqOPBNLWSHKh2a30DoXe8/edit?usp=sharing"",""ปัตตานี!J192"")"),0)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IFERROR(__xludf.DUMMYFUNCTION("IMPORTRANGE(""https://docs.google.com/spreadsheets/d/1IYY_tgx_IHuhSq3AJ5eI5OnqOPBNLWSHKh2a30DoXe8/edit?usp=sharing"",""ปัตตานี!J193"")"),0)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IFERROR(__xludf.DUMMYFUNCTION("IMPORTRANGE(""https://docs.google.com/spreadsheets/d/1IYY_tgx_IHuhSq3AJ5eI5OnqOPBNLWSHKh2a30DoXe8/edit?usp=sharing"",""ปัตตานี!J194"")"),0)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IFERROR(__xludf.DUMMYFUNCTION("IMPORTRANGE(""https://docs.google.com/spreadsheets/d/1IYY_tgx_IHuhSq3AJ5eI5OnqOPBNLWSHKh2a30DoXe8/edit?usp=sharing"",""ปัตตานี!I195"")"),0)</f>
        <v>0</v>
      </c>
      <c r="J285" s="195">
        <f ca="1">IFERROR(__xludf.DUMMYFUNCTION("IMPORTRANGE(""https://docs.google.com/spreadsheets/d/1IYY_tgx_IHuhSq3AJ5eI5OnqOPBNLWSHKh2a30DoXe8/edit?usp=sharing"",""ปัตตานี!J195"")"),0)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IFERROR(__xludf.DUMMYFUNCTION("IMPORTRANGE(""https://docs.google.com/spreadsheets/d/1IYY_tgx_IHuhSq3AJ5eI5OnqOPBNLWSHKh2a30DoXe8/edit?usp=sharing"",""ปัตตานี!J196"")"),0)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IFERROR(__xludf.DUMMYFUNCTION("IMPORTRANGE(""https://docs.google.com/spreadsheets/d/1IYY_tgx_IHuhSq3AJ5eI5OnqOPBNLWSHKh2a30DoXe8/edit?usp=sharing"",""ปัตตานี!J197"")"),0)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IFERROR(__xludf.DUMMYFUNCTION("IMPORTRANGE(""https://docs.google.com/spreadsheets/d/1Yj_ptqi66GCucihVvJfMjLAmec39IyEx_6qawtMGysU/edit?usp=sharing"",""สบก!CT86"")"),0)</f>
        <v>0</v>
      </c>
      <c r="N294" s="174">
        <f ca="1">IFERROR(__xludf.DUMMYFUNCTION("IMPORTRANGE(""https://docs.google.com/spreadsheets/d/1Yj_ptqi66GCucihVvJfMjLAmec39IyEx_6qawtMGysU/edit?usp=sharing"",""สบก!CU86"")"),0)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IFERROR(__xludf.DUMMYFUNCTION("IMPORTRANGE(""https://docs.google.com/spreadsheets/d/1Yj_ptqi66GCucihVvJfMjLAmec39IyEx_6qawtMGysU/edit?usp=sharing"",""สบก!CP86"")"),0)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IFERROR(__xludf.DUMMYFUNCTION("IMPORTRANGE(""https://docs.google.com/spreadsheets/d/1Yj_ptqi66GCucihVvJfMjLAmec39IyEx_6qawtMGysU/edit?usp=sharing"",""สบก!CQ86"")"),0)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IFERROR(__xludf.DUMMYFUNCTION("IMPORTRANGE(""https://docs.google.com/spreadsheets/d/1IYY_tgx_IHuhSq3AJ5eI5OnqOPBNLWSHKh2a30DoXe8/edit?usp=sharing"",""ปัตตานี!J205"")"),0)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IFERROR(__xludf.DUMMYFUNCTION("IMPORTRANGE(""https://docs.google.com/spreadsheets/d/1IYY_tgx_IHuhSq3AJ5eI5OnqOPBNLWSHKh2a30DoXe8/edit?usp=sharing"",""ปัตตานี!J206"")"),0)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IFERROR(__xludf.DUMMYFUNCTION("IMPORTRANGE(""https://docs.google.com/spreadsheets/d/1IYY_tgx_IHuhSq3AJ5eI5OnqOPBNLWSHKh2a30DoXe8/edit?usp=sharing"",""ปัตตานี!J207"")"),0)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IFERROR(__xludf.DUMMYFUNCTION("IMPORTRANGE(""https://docs.google.com/spreadsheets/d/1IYY_tgx_IHuhSq3AJ5eI5OnqOPBNLWSHKh2a30DoXe8/edit?usp=sharing"",""ปัตตานี!J208"")"),0)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IFERROR(__xludf.DUMMYFUNCTION("IMPORTRANGE(""https://docs.google.com/spreadsheets/d/1IYY_tgx_IHuhSq3AJ5eI5OnqOPBNLWSHKh2a30DoXe8/edit?usp=sharing"",""ปัตตานี!I209"")"),0)</f>
        <v>0</v>
      </c>
      <c r="J304" s="210">
        <f ca="1">IFERROR(__xludf.DUMMYFUNCTION("IMPORTRANGE(""https://docs.google.com/spreadsheets/d/1IYY_tgx_IHuhSq3AJ5eI5OnqOPBNLWSHKh2a30DoXe8/edit?usp=sharing"",""ปัตตานี!J209"")"),0)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IFERROR(__xludf.DUMMYFUNCTION("IMPORTRANGE(""https://docs.google.com/spreadsheets/d/1IYY_tgx_IHuhSq3AJ5eI5OnqOPBNLWSHKh2a30DoXe8/edit?usp=sharing"",""ปัตตานี!I211"")"),0)</f>
        <v>0</v>
      </c>
      <c r="J306" s="210">
        <f ca="1">IFERROR(__xludf.DUMMYFUNCTION("IMPORTRANGE(""https://docs.google.com/spreadsheets/d/1IYY_tgx_IHuhSq3AJ5eI5OnqOPBNLWSHKh2a30DoXe8/edit?usp=sharing"",""ปัตตานี!J211"")"),0)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IFERROR(__xludf.DUMMYFUNCTION("IMPORTRANGE(""https://docs.google.com/spreadsheets/d/1IYY_tgx_IHuhSq3AJ5eI5OnqOPBNLWSHKh2a30DoXe8/edit?usp=sharing"",""ปัตตานี!J212"")"),0)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IFERROR(__xludf.DUMMYFUNCTION("IMPORTRANGE(""https://docs.google.com/spreadsheets/d/1Yj_ptqi66GCucihVvJfMjLAmec39IyEx_6qawtMGysU/edit?usp=sharing"",""สบก!DC86"")"),0)</f>
        <v>0</v>
      </c>
      <c r="N314" s="174">
        <f ca="1">IFERROR(__xludf.DUMMYFUNCTION("IMPORTRANGE(""https://docs.google.com/spreadsheets/d/1Yj_ptqi66GCucihVvJfMjLAmec39IyEx_6qawtMGysU/edit?usp=sharing"",""สบก!DD86"")"),0)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IFERROR(__xludf.DUMMYFUNCTION("IMPORTRANGE(""https://docs.google.com/spreadsheets/d/1Yj_ptqi66GCucihVvJfMjLAmec39IyEx_6qawtMGysU/edit?usp=sharing"",""สบก!CY86"")"),0)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IFERROR(__xludf.DUMMYFUNCTION("IMPORTRANGE(""https://docs.google.com/spreadsheets/d/1Yj_ptqi66GCucihVvJfMjLAmec39IyEx_6qawtMGysU/edit?usp=sharing"",""สบก!CZ86"")"),0)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IFERROR(__xludf.DUMMYFUNCTION("IMPORTRANGE(""https://docs.google.com/spreadsheets/d/1IYY_tgx_IHuhSq3AJ5eI5OnqOPBNLWSHKh2a30DoXe8/edit?usp=sharing"",""ปัตตานี!J220"")"),0)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IFERROR(__xludf.DUMMYFUNCTION("IMPORTRANGE(""https://docs.google.com/spreadsheets/d/1IYY_tgx_IHuhSq3AJ5eI5OnqOPBNLWSHKh2a30DoXe8/edit?usp=sharing"",""ปัตตานี!J221"")"),0)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IFERROR(__xludf.DUMMYFUNCTION("IMPORTRANGE(""https://docs.google.com/spreadsheets/d/1IYY_tgx_IHuhSq3AJ5eI5OnqOPBNLWSHKh2a30DoXe8/edit?usp=sharing"",""ปัตตานี!J222"")"),0)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IFERROR(__xludf.DUMMYFUNCTION("IMPORTRANGE(""https://docs.google.com/spreadsheets/d/1IYY_tgx_IHuhSq3AJ5eI5OnqOPBNLWSHKh2a30DoXe8/edit?usp=sharing"",""ปัตตานี!J223"")"),0)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IFERROR(__xludf.DUMMYFUNCTION("IMPORTRANGE(""https://docs.google.com/spreadsheets/d/1IYY_tgx_IHuhSq3AJ5eI5OnqOPBNLWSHKh2a30DoXe8/edit?usp=sharing"",""ปัตตานี!I224"")"),0)</f>
        <v>0</v>
      </c>
      <c r="J324" s="210">
        <f ca="1">IFERROR(__xludf.DUMMYFUNCTION("IMPORTRANGE(""https://docs.google.com/spreadsheets/d/1IYY_tgx_IHuhSq3AJ5eI5OnqOPBNLWSHKh2a30DoXe8/edit?usp=sharing"",""ปัตตานี!J224"")"),0)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IFERROR(__xludf.DUMMYFUNCTION("IMPORTRANGE(""https://docs.google.com/spreadsheets/d/1IYY_tgx_IHuhSq3AJ5eI5OnqOPBNLWSHKh2a30DoXe8/edit?usp=sharing"",""ปัตตานี!J225"")"),0)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IFERROR(__xludf.DUMMYFUNCTION("IMPORTRANGE(""https://docs.google.com/spreadsheets/d/1IYY_tgx_IHuhSq3AJ5eI5OnqOPBNLWSHKh2a30DoXe8/edit?usp=sharing"",""ปัตตานี!J226"")"),0)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IFERROR(__xludf.DUMMYFUNCTION("IMPORTRANGE(""https://docs.google.com/spreadsheets/d/1IYY_tgx_IHuhSq3AJ5eI5OnqOPBNLWSHKh2a30DoXe8/edit?usp=sharing"",""ปัตตานี!J228"")"),202)</f>
        <v>202</v>
      </c>
      <c r="K328" s="323">
        <f ca="1">IF(I328&gt;0,J328*100/I328,0)</f>
        <v>96.19047619047619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707640</v>
      </c>
      <c r="M329" s="156">
        <f t="shared" ca="1" si="98"/>
        <v>746640</v>
      </c>
      <c r="N329" s="156">
        <f t="shared" ca="1" si="98"/>
        <v>549127.65</v>
      </c>
      <c r="O329" s="155">
        <f t="shared" ref="O329:O331" ca="1" si="99">IF(L329&gt;0,N329*100/L329,0)</f>
        <v>77.599860098355094</v>
      </c>
      <c r="P329" s="155">
        <f t="shared" ref="P329:P331" ca="1" si="100">IF(M329&gt;0,N329*100/M329,0)</f>
        <v>73.54650835744134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707640</v>
      </c>
      <c r="M331" s="161">
        <f t="shared" ca="1" si="102"/>
        <v>746640</v>
      </c>
      <c r="N331" s="161">
        <f t="shared" ca="1" si="102"/>
        <v>549127.65</v>
      </c>
      <c r="O331" s="160">
        <f t="shared" ca="1" si="99"/>
        <v>77.599860098355094</v>
      </c>
      <c r="P331" s="160">
        <f t="shared" ca="1" si="100"/>
        <v>73.54650835744134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695140</v>
      </c>
      <c r="M333" s="173">
        <f ca="1">IFERROR(__xludf.DUMMYFUNCTION("IMPORTRANGE(""https://docs.google.com/spreadsheets/d/1Yj_ptqi66GCucihVvJfMjLAmec39IyEx_6qawtMGysU/edit?usp=sharing"",""สบก!DL86"")"),734140)</f>
        <v>734140</v>
      </c>
      <c r="N333" s="174">
        <f ca="1">IFERROR(__xludf.DUMMYFUNCTION("IMPORTRANGE(""https://docs.google.com/spreadsheets/d/1Yj_ptqi66GCucihVvJfMjLAmec39IyEx_6qawtMGysU/edit?usp=sharing"",""สบก!DM86"")"),536627.65)</f>
        <v>536627.65</v>
      </c>
      <c r="O333" s="175">
        <f ca="1">IF(L333&gt;0,N333*100/L333,0)</f>
        <v>77.197061023678685</v>
      </c>
      <c r="P333" s="175">
        <f ca="1">IF(M333&gt;0,N333*100/M333,0)</f>
        <v>73.096092026044076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IFERROR(__xludf.DUMMYFUNCTION("IMPORTRANGE(""https://docs.google.com/spreadsheets/d/1Yj_ptqi66GCucihVvJfMjLAmec39IyEx_6qawtMGysU/edit?usp=sharing"",""สบก!DH86"")"),417600)</f>
        <v>417600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IFERROR(__xludf.DUMMYFUNCTION("IMPORTRANGE(""https://docs.google.com/spreadsheets/d/1Yj_ptqi66GCucihVvJfMjLAmec39IyEx_6qawtMGysU/edit?usp=sharing"",""สบก!DI86"")"),277540)</f>
        <v>277540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IFERROR(__xludf.DUMMYFUNCTION("IMPORTRANGE(""https://docs.google.com/spreadsheets/d/1IYY_tgx_IHuhSq3AJ5eI5OnqOPBNLWSHKh2a30DoXe8/edit?usp=sharing"",""ปัตตานี!I234"")"),0)</f>
        <v>0</v>
      </c>
      <c r="J339" s="194">
        <f ca="1">IFERROR(__xludf.DUMMYFUNCTION("IMPORTRANGE(""https://docs.google.com/spreadsheets/d/1IYY_tgx_IHuhSq3AJ5eI5OnqOPBNLWSHKh2a30DoXe8/edit?usp=sharing"",""ปัตตานี!J234"")"),236)</f>
        <v>236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IFERROR(__xludf.DUMMYFUNCTION("IMPORTRANGE(""https://docs.google.com/spreadsheets/d/1IYY_tgx_IHuhSq3AJ5eI5OnqOPBNLWSHKh2a30DoXe8/edit?usp=sharing"",""ปัตตานี!I235"")"),944)</f>
        <v>944</v>
      </c>
      <c r="J340" s="194">
        <f ca="1">IFERROR(__xludf.DUMMYFUNCTION("IMPORTRANGE(""https://docs.google.com/spreadsheets/d/1IYY_tgx_IHuhSq3AJ5eI5OnqOPBNLWSHKh2a30DoXe8/edit?usp=sharing"",""ปัตตานี!J235"")"),983.68)</f>
        <v>983.68</v>
      </c>
      <c r="K340" s="348">
        <f t="shared" ca="1" si="103"/>
        <v>104.20338983050847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IFERROR(__xludf.DUMMYFUNCTION("IMPORTRANGE(""https://docs.google.com/spreadsheets/d/1IYY_tgx_IHuhSq3AJ5eI5OnqOPBNLWSHKh2a30DoXe8/edit?usp=sharing"",""ปัตตานี!I236"")"),210)</f>
        <v>210</v>
      </c>
      <c r="J341" s="194">
        <f ca="1">IFERROR(__xludf.DUMMYFUNCTION("IMPORTRANGE(""https://docs.google.com/spreadsheets/d/1IYY_tgx_IHuhSq3AJ5eI5OnqOPBNLWSHKh2a30DoXe8/edit?usp=sharing"",""ปัตตานี!J236"")"),279)</f>
        <v>279</v>
      </c>
      <c r="K341" s="348">
        <f t="shared" ca="1" si="103"/>
        <v>132.85714285714286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4">
        <f ca="1">IFERROR(__xludf.DUMMYFUNCTION("IMPORTRANGE(""https://docs.google.com/spreadsheets/d/1IYY_tgx_IHuhSq3AJ5eI5OnqOPBNLWSHKh2a30DoXe8/edit?usp=sharing"",""ปัตตานี!J237"")"),1233.25)</f>
        <v>1233.25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IFERROR(__xludf.DUMMYFUNCTION("IMPORTRANGE(""https://docs.google.com/spreadsheets/d/1IYY_tgx_IHuhSq3AJ5eI5OnqOPBNLWSHKh2a30DoXe8/edit?usp=sharing"",""ปัตตานี!I238"")"),210)</f>
        <v>210</v>
      </c>
      <c r="J343" s="194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4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IFERROR(__xludf.DUMMYFUNCTION("IMPORTRANGE(""https://docs.google.com/spreadsheets/d/1IYY_tgx_IHuhSq3AJ5eI5OnqOPBNLWSHKh2a30DoXe8/edit?usp=sharing"",""ปัตตานี!I240"")"),210)</f>
        <v>210</v>
      </c>
      <c r="J345" s="194">
        <f ca="1">IFERROR(__xludf.DUMMYFUNCTION("IMPORTRANGE(""https://docs.google.com/spreadsheets/d/1IYY_tgx_IHuhSq3AJ5eI5OnqOPBNLWSHKh2a30DoXe8/edit?usp=sharing"",""ปัตตานี!J240"")"),202)</f>
        <v>202</v>
      </c>
      <c r="K345" s="348">
        <f t="shared" ca="1" si="103"/>
        <v>96.19047619047619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4">
        <f ca="1">IFERROR(__xludf.DUMMYFUNCTION("IMPORTRANGE(""https://docs.google.com/spreadsheets/d/1IYY_tgx_IHuhSq3AJ5eI5OnqOPBNLWSHKh2a30DoXe8/edit?usp=sharing"",""ปัตตานี!J241"")"),961.54)</f>
        <v>961.54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IFERROR(__xludf.DUMMYFUNCTION("IMPORTRANGE(""https://docs.google.com/spreadsheets/d/1IYY_tgx_IHuhSq3AJ5eI5OnqOPBNLWSHKh2a30DoXe8/edit?usp=sharing"",""ปัตตานี!L242"")"),723826)</f>
        <v>723826</v>
      </c>
      <c r="M347" s="364"/>
      <c r="N347" s="364">
        <f ca="1">IFERROR(__xludf.DUMMYFUNCTION("IMPORTRANGE(""https://docs.google.com/spreadsheets/d/1IYY_tgx_IHuhSq3AJ5eI5OnqOPBNLWSHKh2a30DoXe8/edit?usp=sharing"",""ปัตตานี!M242"")"),706850.669999999)</f>
        <v>706850.66999999899</v>
      </c>
      <c r="O347" s="364">
        <f ca="1">+IF(L347&gt;0,N347*100/L347,0)</f>
        <v>97.65477752940609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IFERROR(__xludf.DUMMYFUNCTION("IMPORTRANGE(""https://docs.google.com/spreadsheets/d/1IYY_tgx_IHuhSq3AJ5eI5OnqOPBNLWSHKh2a30DoXe8/edit?usp=sharing"",""ปัตตานี!L244"")"),215720)</f>
        <v>215720</v>
      </c>
      <c r="M349" s="379"/>
      <c r="N349" s="379">
        <f ca="1">IFERROR(__xludf.DUMMYFUNCTION("IMPORTRANGE(""https://docs.google.com/spreadsheets/d/1IYY_tgx_IHuhSq3AJ5eI5OnqOPBNLWSHKh2a30DoXe8/edit?usp=sharing"",""ปัตตานี!M244"")"),215720)</f>
        <v>215720</v>
      </c>
      <c r="O349" s="379">
        <f ca="1">+IF(L349&gt;0,N349*100/L349,0)</f>
        <v>100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IFERROR(__xludf.DUMMYFUNCTION("IMPORTRANGE(""https://docs.google.com/spreadsheets/d/1IYY_tgx_IHuhSq3AJ5eI5OnqOPBNLWSHKh2a30DoXe8/edit?usp=sharing"",""ปัตตานี!L246"")"),0)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IFERROR(__xludf.DUMMYFUNCTION("IMPORTRANGE(""https://docs.google.com/spreadsheets/d/1IYY_tgx_IHuhSq3AJ5eI5OnqOPBNLWSHKh2a30DoXe8/edit?usp=sharing"",""ปัตตานี!L247"")"),215720)</f>
        <v>215720</v>
      </c>
      <c r="M352" s="169"/>
      <c r="N352" s="168">
        <f ca="1">IFERROR(__xludf.DUMMYFUNCTION("IMPORTRANGE(""https://docs.google.com/spreadsheets/d/1IYY_tgx_IHuhSq3AJ5eI5OnqOPBNLWSHKh2a30DoXe8/edit?usp=sharing"",""ปัตตานี!M247"")"),215720)</f>
        <v>215720</v>
      </c>
      <c r="O352" s="169">
        <f t="shared" ca="1" si="105"/>
        <v>100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IFERROR(__xludf.DUMMYFUNCTION("IMPORTRANGE(""https://docs.google.com/spreadsheets/d/1IYY_tgx_IHuhSq3AJ5eI5OnqOPBNLWSHKh2a30DoXe8/edit?usp=sharing"",""ปัตตานี!L248"")"),0)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IFERROR(__xludf.DUMMYFUNCTION("IMPORTRANGE(""https://docs.google.com/spreadsheets/d/1IYY_tgx_IHuhSq3AJ5eI5OnqOPBNLWSHKh2a30DoXe8/edit?usp=sharing"",""ปัตตานี!M248"")"),0)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IFERROR(__xludf.DUMMYFUNCTION("IMPORTRANGE(""https://docs.google.com/spreadsheets/d/1IYY_tgx_IHuhSq3AJ5eI5OnqOPBNLWSHKh2a30DoXe8/edit?usp=sharing"",""ปัตตานี!L249"")"),215720)</f>
        <v>215720</v>
      </c>
      <c r="M354" s="175"/>
      <c r="N354" s="172">
        <f ca="1">IFERROR(__xludf.DUMMYFUNCTION("IMPORTRANGE(""https://docs.google.com/spreadsheets/d/1IYY_tgx_IHuhSq3AJ5eI5OnqOPBNLWSHKh2a30DoXe8/edit?usp=sharing"",""ปัตตานี!M249"")"),215720)</f>
        <v>215720</v>
      </c>
      <c r="O354" s="175">
        <f t="shared" ca="1" si="105"/>
        <v>100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IFERROR(__xludf.DUMMYFUNCTION("IMPORTRANGE(""https://docs.google.com/spreadsheets/d/1IYY_tgx_IHuhSq3AJ5eI5OnqOPBNLWSHKh2a30DoXe8/edit?usp=sharing"",""ปัตตานี!M253"")"),18520)</f>
        <v>18520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IFERROR(__xludf.DUMMYFUNCTION("IMPORTRANGE(""https://docs.google.com/spreadsheets/d/1IYY_tgx_IHuhSq3AJ5eI5OnqOPBNLWSHKh2a30DoXe8/edit?usp=sharing"",""ปัตตานี!J255"")"),0)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IFERROR(__xludf.DUMMYFUNCTION("IMPORTRANGE(""https://docs.google.com/spreadsheets/d/1IYY_tgx_IHuhSq3AJ5eI5OnqOPBNLWSHKh2a30DoXe8/edit?usp=sharing"",""ปัตตานี!J256"")"),1)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IFERROR(__xludf.DUMMYFUNCTION("IMPORTRANGE(""https://docs.google.com/spreadsheets/d/1IYY_tgx_IHuhSq3AJ5eI5OnqOPBNLWSHKh2a30DoXe8/edit?usp=sharing"",""ปัตตานี!J257"")"),1)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IFERROR(__xludf.DUMMYFUNCTION("IMPORTRANGE(""https://docs.google.com/spreadsheets/d/1IYY_tgx_IHuhSq3AJ5eI5OnqOPBNLWSHKh2a30DoXe8/edit?usp=sharing"",""ปัตตานี!J258"")"),1)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IFERROR(__xludf.DUMMYFUNCTION("IMPORTRANGE(""https://docs.google.com/spreadsheets/d/1IYY_tgx_IHuhSq3AJ5eI5OnqOPBNLWSHKh2a30DoXe8/edit?usp=sharing"",""ปัตตานี!J166"")"),0)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IFERROR(__xludf.DUMMYFUNCTION("IMPORTRANGE(""https://docs.google.com/spreadsheets/d/1IYY_tgx_IHuhSq3AJ5eI5OnqOPBNLWSHKh2a30DoXe8/edit?usp=sharing"",""ปัตตานี!J166"")"),0)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IFERROR(__xludf.DUMMYFUNCTION("IMPORTRANGE(""https://docs.google.com/spreadsheets/d/1IYY_tgx_IHuhSq3AJ5eI5OnqOPBNLWSHKh2a30DoXe8/edit?usp=sharing"",""ปัตตานี!J166"")"),0)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IFERROR(__xludf.DUMMYFUNCTION("IMPORTRANGE(""https://docs.google.com/spreadsheets/d/1IYY_tgx_IHuhSq3AJ5eI5OnqOPBNLWSHKh2a30DoXe8/edit?usp=sharing"",""ปัตตานี!J166"")"),0)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IFERROR(__xludf.DUMMYFUNCTION("IMPORTRANGE(""https://docs.google.com/spreadsheets/d/1IYY_tgx_IHuhSq3AJ5eI5OnqOPBNLWSHKh2a30DoXe8/edit?usp=sharing"",""ปัตตานี!I263"")"),10)</f>
        <v>10</v>
      </c>
      <c r="J368" s="194">
        <f ca="1">IFERROR(__xludf.DUMMYFUNCTION("IMPORTRANGE(""https://docs.google.com/spreadsheets/d/1IYY_tgx_IHuhSq3AJ5eI5OnqOPBNLWSHKh2a30DoXe8/edit?usp=sharing"",""ปัตตานี!J263"")"),10)</f>
        <v>10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IFERROR(__xludf.DUMMYFUNCTION("IMPORTRANGE(""https://docs.google.com/spreadsheets/d/1IYY_tgx_IHuhSq3AJ5eI5OnqOPBNLWSHKh2a30DoXe8/edit?usp=sharing"",""ปัตตานี!I164"")"),0)</f>
        <v>0</v>
      </c>
      <c r="J369" s="210">
        <f ca="1">IFERROR(__xludf.DUMMYFUNCTION("IMPORTRANGE(""https://docs.google.com/spreadsheets/d/1IYY_tgx_IHuhSq3AJ5eI5OnqOPBNLWSHKh2a30DoXe8/edit?usp=sharing"",""ปัตตานี!J164"")"),0)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IFERROR(__xludf.DUMMYFUNCTION("IMPORTRANGE(""https://docs.google.com/spreadsheets/d/1IYY_tgx_IHuhSq3AJ5eI5OnqOPBNLWSHKh2a30DoXe8/edit?usp=sharing"",""ปัตตานี!I265"")"),10)</f>
        <v>10</v>
      </c>
      <c r="J370" s="210">
        <f ca="1">IFERROR(__xludf.DUMMYFUNCTION("IMPORTRANGE(""https://docs.google.com/spreadsheets/d/1IYY_tgx_IHuhSq3AJ5eI5OnqOPBNLWSHKh2a30DoXe8/edit?usp=sharing"",""ปัตตานี!J265"")"),0)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IFERROR(__xludf.DUMMYFUNCTION("IMPORTRANGE(""https://docs.google.com/spreadsheets/d/1IYY_tgx_IHuhSq3AJ5eI5OnqOPBNLWSHKh2a30DoXe8/edit?usp=sharing"",""ปัตตานี!I164"")"),0)</f>
        <v>0</v>
      </c>
      <c r="J371" s="195">
        <f ca="1">IFERROR(__xludf.DUMMYFUNCTION("IMPORTRANGE(""https://docs.google.com/spreadsheets/d/1IYY_tgx_IHuhSq3AJ5eI5OnqOPBNLWSHKh2a30DoXe8/edit?usp=sharing"",""ปัตตานี!J164"")"),0)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IFERROR(__xludf.DUMMYFUNCTION("IMPORTRANGE(""https://docs.google.com/spreadsheets/d/1IYY_tgx_IHuhSq3AJ5eI5OnqOPBNLWSHKh2a30DoXe8/edit?usp=sharing"",""ปัตตานี!I267"")"),10)</f>
        <v>10</v>
      </c>
      <c r="J372" s="195">
        <f ca="1">IFERROR(__xludf.DUMMYFUNCTION("IMPORTRANGE(""https://docs.google.com/spreadsheets/d/1IYY_tgx_IHuhSq3AJ5eI5OnqOPBNLWSHKh2a30DoXe8/edit?usp=sharing"",""ปัตตานี!J267"")"),10)</f>
        <v>10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IFERROR(__xludf.DUMMYFUNCTION("IMPORTRANGE(""https://docs.google.com/spreadsheets/d/1IYY_tgx_IHuhSq3AJ5eI5OnqOPBNLWSHKh2a30DoXe8/edit?usp=sharing"",""ปัตตานี!I164"")"),0)</f>
        <v>0</v>
      </c>
      <c r="J373" s="210">
        <f ca="1">IFERROR(__xludf.DUMMYFUNCTION("IMPORTRANGE(""https://docs.google.com/spreadsheets/d/1IYY_tgx_IHuhSq3AJ5eI5OnqOPBNLWSHKh2a30DoXe8/edit?usp=sharing"",""ปัตตานี!J164"")"),0)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IFERROR(__xludf.DUMMYFUNCTION("IMPORTRANGE(""https://docs.google.com/spreadsheets/d/1IYY_tgx_IHuhSq3AJ5eI5OnqOPBNLWSHKh2a30DoXe8/edit?usp=sharing"",""ปัตตานี!I164"")"),0)</f>
        <v>0</v>
      </c>
      <c r="J374" s="194">
        <f ca="1">IFERROR(__xludf.DUMMYFUNCTION("IMPORTRANGE(""https://docs.google.com/spreadsheets/d/1IYY_tgx_IHuhSq3AJ5eI5OnqOPBNLWSHKh2a30DoXe8/edit?usp=sharing"",""ปัตตานี!J164"")"),0)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IFERROR(__xludf.DUMMYFUNCTION("IMPORTRANGE(""https://docs.google.com/spreadsheets/d/1IYY_tgx_IHuhSq3AJ5eI5OnqOPBNLWSHKh2a30DoXe8/edit?usp=sharing"",""ปัตตานี!I270"")"),20)</f>
        <v>20</v>
      </c>
      <c r="J375" s="194">
        <f ca="1">IFERROR(__xludf.DUMMYFUNCTION("IMPORTRANGE(""https://docs.google.com/spreadsheets/d/1IYY_tgx_IHuhSq3AJ5eI5OnqOPBNLWSHKh2a30DoXe8/edit?usp=sharing"",""ปัตตานี!J270"")"),20)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IFERROR(__xludf.DUMMYFUNCTION("IMPORTRANGE(""https://docs.google.com/spreadsheets/d/1IYY_tgx_IHuhSq3AJ5eI5OnqOPBNLWSHKh2a30DoXe8/edit?usp=sharing"",""ปัตตานี!I271"")"),20)</f>
        <v>20</v>
      </c>
      <c r="J376" s="195">
        <f ca="1">IFERROR(__xludf.DUMMYFUNCTION("IMPORTRANGE(""https://docs.google.com/spreadsheets/d/1IYY_tgx_IHuhSq3AJ5eI5OnqOPBNLWSHKh2a30DoXe8/edit?usp=sharing"",""ปัตตานี!J271"")"),20)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IFERROR(__xludf.DUMMYFUNCTION("IMPORTRANGE(""https://docs.google.com/spreadsheets/d/1IYY_tgx_IHuhSq3AJ5eI5OnqOPBNLWSHKh2a30DoXe8/edit?usp=sharing"",""ปัตตานี!I272"")"),0)</f>
        <v>0</v>
      </c>
      <c r="J377" s="210">
        <f ca="1">IFERROR(__xludf.DUMMYFUNCTION("IMPORTRANGE(""https://docs.google.com/spreadsheets/d/1IYY_tgx_IHuhSq3AJ5eI5OnqOPBNLWSHKh2a30DoXe8/edit?usp=sharing"",""ปัตตานี!J272"")"),0)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IFERROR(__xludf.DUMMYFUNCTION("IMPORTRANGE(""https://docs.google.com/spreadsheets/d/1IYY_tgx_IHuhSq3AJ5eI5OnqOPBNLWSHKh2a30DoXe8/edit?usp=sharing"",""ปัตตานี!J273"")"),0)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IFERROR(__xludf.DUMMYFUNCTION("IMPORTRANGE(""https://docs.google.com/spreadsheets/d/1IYY_tgx_IHuhSq3AJ5eI5OnqOPBNLWSHKh2a30DoXe8/edit?usp=sharing"",""ปัตตานี!J274"")"),0)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IFERROR(__xludf.DUMMYFUNCTION("IMPORTRANGE(""https://docs.google.com/spreadsheets/d/1IYY_tgx_IHuhSq3AJ5eI5OnqOPBNLWSHKh2a30DoXe8/edit?usp=sharing"",""ปัตตานี!J275"")"),50)</f>
        <v>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IFERROR(__xludf.DUMMYFUNCTION("IMPORTRANGE(""https://docs.google.com/spreadsheets/d/1IYY_tgx_IHuhSq3AJ5eI5OnqOPBNLWSHKh2a30DoXe8/edit?usp=sharing"",""ปัตตานี!M275"")"),82904.04)</f>
        <v>82904.039999999994</v>
      </c>
      <c r="O380" s="379">
        <f ca="1">+IF(L380&gt;0,N380*100/L380,0)</f>
        <v>94.52062478622733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IFERROR(__xludf.DUMMYFUNCTION("IMPORTRANGE(""https://docs.google.com/spreadsheets/d/1IYY_tgx_IHuhSq3AJ5eI5OnqOPBNLWSHKh2a30DoXe8/edit?usp=sharing"",""ปัตตานี!L277"")"),0)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IFERROR(__xludf.DUMMYFUNCTION("IMPORTRANGE(""https://docs.google.com/spreadsheets/d/1IYY_tgx_IHuhSq3AJ5eI5OnqOPBNLWSHKh2a30DoXe8/edit?usp=sharing"",""ปัตตานี!M278"")"),82904.04)</f>
        <v>82904.039999999994</v>
      </c>
      <c r="O383" s="169">
        <f t="shared" ca="1" si="109"/>
        <v>94.52062478622733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IFERROR(__xludf.DUMMYFUNCTION("IMPORTRANGE(""https://docs.google.com/spreadsheets/d/1IYY_tgx_IHuhSq3AJ5eI5OnqOPBNLWSHKh2a30DoXe8/edit?usp=sharing"",""ปัตตานี!L279"")"),0)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IFERROR(__xludf.DUMMYFUNCTION("IMPORTRANGE(""https://docs.google.com/spreadsheets/d/1IYY_tgx_IHuhSq3AJ5eI5OnqOPBNLWSHKh2a30DoXe8/edit?usp=sharing"",""ปัตตานี!M279"")"),0)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IFERROR(__xludf.DUMMYFUNCTION("IMPORTRANGE(""https://docs.google.com/spreadsheets/d/1IYY_tgx_IHuhSq3AJ5eI5OnqOPBNLWSHKh2a30DoXe8/edit?usp=sharing"",""ปัตตานี!L280"")"),87710)</f>
        <v>87710</v>
      </c>
      <c r="M385" s="175"/>
      <c r="N385" s="172">
        <f ca="1">IFERROR(__xludf.DUMMYFUNCTION("IMPORTRANGE(""https://docs.google.com/spreadsheets/d/1IYY_tgx_IHuhSq3AJ5eI5OnqOPBNLWSHKh2a30DoXe8/edit?usp=sharing"",""ปัตตานี!M280"")"),82904.04)</f>
        <v>82904.039999999994</v>
      </c>
      <c r="O385" s="175">
        <f t="shared" ca="1" si="109"/>
        <v>94.52062478622733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IFERROR(__xludf.DUMMYFUNCTION("IMPORTRANGE(""https://docs.google.com/spreadsheets/d/1IYY_tgx_IHuhSq3AJ5eI5OnqOPBNLWSHKh2a30DoXe8/edit?usp=sharing"",""ปัตตานี!M281"")"),32700)</f>
        <v>32700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IFERROR(__xludf.DUMMYFUNCTION("IMPORTRANGE(""https://docs.google.com/spreadsheets/d/1IYY_tgx_IHuhSq3AJ5eI5OnqOPBNLWSHKh2a30DoXe8/edit?usp=sharing"",""ปัตตานี!M282"")"),31250)</f>
        <v>31250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IFERROR(__xludf.DUMMYFUNCTION("IMPORTRANGE(""https://docs.google.com/spreadsheets/d/1IYY_tgx_IHuhSq3AJ5eI5OnqOPBNLWSHKh2a30DoXe8/edit?usp=sharing"",""ปัตตานี!M284"")"),18954.04)</f>
        <v>18954.04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IFERROR(__xludf.DUMMYFUNCTION("IMPORTRANGE(""https://docs.google.com/spreadsheets/d/1IYY_tgx_IHuhSq3AJ5eI5OnqOPBNLWSHKh2a30DoXe8/edit?usp=sharing"",""ปัตตานี!J286"")"),0)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IFERROR(__xludf.DUMMYFUNCTION("IMPORTRANGE(""https://docs.google.com/spreadsheets/d/1IYY_tgx_IHuhSq3AJ5eI5OnqOPBNLWSHKh2a30DoXe8/edit?usp=sharing"",""ปัตตานี!J287"")"),1)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IFERROR(__xludf.DUMMYFUNCTION("IMPORTRANGE(""https://docs.google.com/spreadsheets/d/1IYY_tgx_IHuhSq3AJ5eI5OnqOPBNLWSHKh2a30DoXe8/edit?usp=sharing"",""ปัตตานี!J288"")"),1)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IFERROR(__xludf.DUMMYFUNCTION("IMPORTRANGE(""https://docs.google.com/spreadsheets/d/1IYY_tgx_IHuhSq3AJ5eI5OnqOPBNLWSHKh2a30DoXe8/edit?usp=sharing"",""ปัตตานี!J289"")"),1)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IFERROR(__xludf.DUMMYFUNCTION("IMPORTRANGE(""https://docs.google.com/spreadsheets/d/1IYY_tgx_IHuhSq3AJ5eI5OnqOPBNLWSHKh2a30DoXe8/edit?usp=sharing"",""ปัตตานี!I291"")"),5)</f>
        <v>5</v>
      </c>
      <c r="J396" s="204">
        <f ca="1">IFERROR(__xludf.DUMMYFUNCTION("IMPORTRANGE(""https://docs.google.com/spreadsheets/d/1IYY_tgx_IHuhSq3AJ5eI5OnqOPBNLWSHKh2a30DoXe8/edit?usp=sharing"",""ปัตตานี!J291"")"),5)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IFERROR(__xludf.DUMMYFUNCTION("IMPORTRANGE(""https://docs.google.com/spreadsheets/d/1IYY_tgx_IHuhSq3AJ5eI5OnqOPBNLWSHKh2a30DoXe8/edit?usp=sharing"",""ปัตตานี!I292"")"),50)</f>
        <v>50</v>
      </c>
      <c r="J397" s="204">
        <f ca="1">IFERROR(__xludf.DUMMYFUNCTION("IMPORTRANGE(""https://docs.google.com/spreadsheets/d/1IYY_tgx_IHuhSq3AJ5eI5OnqOPBNLWSHKh2a30DoXe8/edit?usp=sharing"",""ปัตตานี!J292"")"),50)</f>
        <v>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IFERROR(__xludf.DUMMYFUNCTION("IMPORTRANGE(""https://docs.google.com/spreadsheets/d/1IYY_tgx_IHuhSq3AJ5eI5OnqOPBNLWSHKh2a30DoXe8/edit?usp=sharing"",""ปัตตานี!I293"")"),5)</f>
        <v>5</v>
      </c>
      <c r="J398" s="204">
        <f ca="1">IFERROR(__xludf.DUMMYFUNCTION("IMPORTRANGE(""https://docs.google.com/spreadsheets/d/1IYY_tgx_IHuhSq3AJ5eI5OnqOPBNLWSHKh2a30DoXe8/edit?usp=sharing"",""ปัตตานี!J293"")"),5)</f>
        <v>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IFERROR(__xludf.DUMMYFUNCTION("IMPORTRANGE(""https://docs.google.com/spreadsheets/d/1IYY_tgx_IHuhSq3AJ5eI5OnqOPBNLWSHKh2a30DoXe8/edit?usp=sharing"",""ปัตตานี!J294"")"),0)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IFERROR(__xludf.DUMMYFUNCTION("IMPORTRANGE(""https://docs.google.com/spreadsheets/d/1IYY_tgx_IHuhSq3AJ5eI5OnqOPBNLWSHKh2a30DoXe8/edit?usp=sharing"",""ปัตตานี!J295"")"),0)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IFERROR(__xludf.DUMMYFUNCTION("IMPORTRANGE(""https://docs.google.com/spreadsheets/d/1IYY_tgx_IHuhSq3AJ5eI5OnqOPBNLWSHKh2a30DoXe8/edit?usp=sharing"",""ปัตตานี!M296"")"),131710)</f>
        <v>131710</v>
      </c>
      <c r="O401" s="379">
        <f ca="1">+IF(L401&gt;0,N401*100/L401,0)</f>
        <v>100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IFERROR(__xludf.DUMMYFUNCTION("IMPORTRANGE(""https://docs.google.com/spreadsheets/d/1IYY_tgx_IHuhSq3AJ5eI5OnqOPBNLWSHKh2a30DoXe8/edit?usp=sharing"",""ปัตตานี!L298"")"),0)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IFERROR(__xludf.DUMMYFUNCTION("IMPORTRANGE(""https://docs.google.com/spreadsheets/d/1IYY_tgx_IHuhSq3AJ5eI5OnqOPBNLWSHKh2a30DoXe8/edit?usp=sharing"",""ปัตตานี!M298"")"),0)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IFERROR(__xludf.DUMMYFUNCTION("IMPORTRANGE(""https://docs.google.com/spreadsheets/d/1IYY_tgx_IHuhSq3AJ5eI5OnqOPBNLWSHKh2a30DoXe8/edit?usp=sharing"",""ปัตตานี!M299"")"),131710)</f>
        <v>131710</v>
      </c>
      <c r="O404" s="175">
        <f t="shared" ca="1" si="112"/>
        <v>100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IFERROR(__xludf.DUMMYFUNCTION("IMPORTRANGE(""https://docs.google.com/spreadsheets/d/1IYY_tgx_IHuhSq3AJ5eI5OnqOPBNLWSHKh2a30DoXe8/edit?usp=sharing"",""ปัตตานี!L300"")"),0)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IFERROR(__xludf.DUMMYFUNCTION("IMPORTRANGE(""https://docs.google.com/spreadsheets/d/1IYY_tgx_IHuhSq3AJ5eI5OnqOPBNLWSHKh2a30DoXe8/edit?usp=sharing"",""ปัตตานี!M300"")"),0)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IFERROR(__xludf.DUMMYFUNCTION("IMPORTRANGE(""https://docs.google.com/spreadsheets/d/1IYY_tgx_IHuhSq3AJ5eI5OnqOPBNLWSHKh2a30DoXe8/edit?usp=sharing"",""ปัตตานี!L301"")"),131710)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IFERROR(__xludf.DUMMYFUNCTION("IMPORTRANGE(""https://docs.google.com/spreadsheets/d/1IYY_tgx_IHuhSq3AJ5eI5OnqOPBNLWSHKh2a30DoXe8/edit?usp=sharing"",""ปัตตานี!M301"")"),131710)</f>
        <v>131710</v>
      </c>
      <c r="O406" s="175">
        <f t="shared" ca="1" si="112"/>
        <v>100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IFERROR(__xludf.DUMMYFUNCTION("IMPORTRANGE(""https://docs.google.com/spreadsheets/d/1IYY_tgx_IHuhSq3AJ5eI5OnqOPBNLWSHKh2a30DoXe8/edit?usp=sharing"",""ปัตตานี!M305"")"),27360)</f>
        <v>27360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IFERROR(__xludf.DUMMYFUNCTION("IMPORTRANGE(""https://docs.google.com/spreadsheets/d/1IYY_tgx_IHuhSq3AJ5eI5OnqOPBNLWSHKh2a30DoXe8/edit?usp=sharing"",""ปัตตานี!J307"")"),0)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IFERROR(__xludf.DUMMYFUNCTION("IMPORTRANGE(""https://docs.google.com/spreadsheets/d/1IYY_tgx_IHuhSq3AJ5eI5OnqOPBNLWSHKh2a30DoXe8/edit?usp=sharing"",""ปัตตานี!J308"")"),1)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IFERROR(__xludf.DUMMYFUNCTION("IMPORTRANGE(""https://docs.google.com/spreadsheets/d/1IYY_tgx_IHuhSq3AJ5eI5OnqOPBNLWSHKh2a30DoXe8/edit?usp=sharing"",""ปัตตานี!J309"")"),1)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IFERROR(__xludf.DUMMYFUNCTION("IMPORTRANGE(""https://docs.google.com/spreadsheets/d/1IYY_tgx_IHuhSq3AJ5eI5OnqOPBNLWSHKh2a30DoXe8/edit?usp=sharing"",""ปัตตานี!J310"")"),1)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IFERROR(__xludf.DUMMYFUNCTION("IMPORTRANGE(""https://docs.google.com/spreadsheets/d/1IYY_tgx_IHuhSq3AJ5eI5OnqOPBNLWSHKh2a30DoXe8/edit?usp=sharing"",""ปัตตานี!I311"")"),35)</f>
        <v>35</v>
      </c>
      <c r="J416" s="207">
        <f ca="1">IFERROR(__xludf.DUMMYFUNCTION("IMPORTRANGE(""https://docs.google.com/spreadsheets/d/1IYY_tgx_IHuhSq3AJ5eI5OnqOPBNLWSHKh2a30DoXe8/edit?usp=sharing"",""ปัตตานี!J311"")"),35)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IFERROR(__xludf.DUMMYFUNCTION("IMPORTRANGE(""https://docs.google.com/spreadsheets/d/1IYY_tgx_IHuhSq3AJ5eI5OnqOPBNLWSHKh2a30DoXe8/edit?usp=sharing"",""ปัตตานี!J328"")"),0)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IFERROR(__xludf.DUMMYFUNCTION("IMPORTRANGE(""https://docs.google.com/spreadsheets/d/1IYY_tgx_IHuhSq3AJ5eI5OnqOPBNLWSHKh2a30DoXe8/edit?usp=sharing"",""ปัตตานี!J329"")"),0)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IFERROR(__xludf.DUMMYFUNCTION("IMPORTRANGE(""https://docs.google.com/spreadsheets/d/1IYY_tgx_IHuhSq3AJ5eI5OnqOPBNLWSHKh2a30DoXe8/edit?usp=sharing"",""ปัตตานี!M330"")"),52076.13)</f>
        <v>52076.13</v>
      </c>
      <c r="O435" s="418">
        <f t="shared" ref="O435:O439" ca="1" si="114">+IF(L435&gt;0,N435*100/L435,0)</f>
        <v>68.521223684210526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IFERROR(__xludf.DUMMYFUNCTION("IMPORTRANGE(""https://docs.google.com/spreadsheets/d/1IYY_tgx_IHuhSq3AJ5eI5OnqOPBNLWSHKh2a30DoXe8/edit?usp=sharing"",""ปัตตานี!L331"")"),0)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IFERROR(__xludf.DUMMYFUNCTION("IMPORTRANGE(""https://docs.google.com/spreadsheets/d/1IYY_tgx_IHuhSq3AJ5eI5OnqOPBNLWSHKh2a30DoXe8/edit?usp=sharing"",""ปัตตานี!M331"")"),0)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IFERROR(__xludf.DUMMYFUNCTION("IMPORTRANGE(""https://docs.google.com/spreadsheets/d/1IYY_tgx_IHuhSq3AJ5eI5OnqOPBNLWSHKh2a30DoXe8/edit?usp=sharing"",""ปัตตานี!L332"")"),76000)</f>
        <v>76000</v>
      </c>
      <c r="M437" s="169"/>
      <c r="N437" s="175">
        <f ca="1">IFERROR(__xludf.DUMMYFUNCTION("IMPORTRANGE(""https://docs.google.com/spreadsheets/d/1IYY_tgx_IHuhSq3AJ5eI5OnqOPBNLWSHKh2a30DoXe8/edit?usp=sharing"",""ปัตตานี!M332"")"),52076.13)</f>
        <v>52076.13</v>
      </c>
      <c r="O437" s="175">
        <f t="shared" ca="1" si="114"/>
        <v>68.521223684210526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IFERROR(__xludf.DUMMYFUNCTION("IMPORTRANGE(""https://docs.google.com/spreadsheets/d/1IYY_tgx_IHuhSq3AJ5eI5OnqOPBNLWSHKh2a30DoXe8/edit?usp=sharing"",""ปัตตานี!L333"")"),0)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IFERROR(__xludf.DUMMYFUNCTION("IMPORTRANGE(""https://docs.google.com/spreadsheets/d/1IYY_tgx_IHuhSq3AJ5eI5OnqOPBNLWSHKh2a30DoXe8/edit?usp=sharing"",""ปัตตานี!M333"")"),0)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IFERROR(__xludf.DUMMYFUNCTION("IMPORTRANGE(""https://docs.google.com/spreadsheets/d/1IYY_tgx_IHuhSq3AJ5eI5OnqOPBNLWSHKh2a30DoXe8/edit?usp=sharing"",""ปัตตานี!L334"")"),76000)</f>
        <v>76000</v>
      </c>
      <c r="M439" s="175"/>
      <c r="N439" s="175">
        <f ca="1">IFERROR(__xludf.DUMMYFUNCTION("IMPORTRANGE(""https://docs.google.com/spreadsheets/d/1IYY_tgx_IHuhSq3AJ5eI5OnqOPBNLWSHKh2a30DoXe8/edit?usp=sharing"",""ปัตตานี!M334"")"),52076.13)</f>
        <v>52076.13</v>
      </c>
      <c r="O439" s="175">
        <f t="shared" ca="1" si="114"/>
        <v>68.521223684210526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IFERROR(__xludf.DUMMYFUNCTION("IMPORTRANGE(""https://docs.google.com/spreadsheets/d/1IYY_tgx_IHuhSq3AJ5eI5OnqOPBNLWSHKh2a30DoXe8/edit?usp=sharing"",""ปัตตานี!M335"")"),25200)</f>
        <v>25200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IFERROR(__xludf.DUMMYFUNCTION("IMPORTRANGE(""https://docs.google.com/spreadsheets/d/1IYY_tgx_IHuhSq3AJ5eI5OnqOPBNLWSHKh2a30DoXe8/edit?usp=sharing"",""ปัตตานี!M338"")"),26876.13)</f>
        <v>26876.13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IFERROR(__xludf.DUMMYFUNCTION("IMPORTRANGE(""https://docs.google.com/spreadsheets/d/1IYY_tgx_IHuhSq3AJ5eI5OnqOPBNLWSHKh2a30DoXe8/edit?usp=sharing"",""ปัตตานี!J340"")"),0)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IFERROR(__xludf.DUMMYFUNCTION("IMPORTRANGE(""https://docs.google.com/spreadsheets/d/1IYY_tgx_IHuhSq3AJ5eI5OnqOPBNLWSHKh2a30DoXe8/edit?usp=sharing"",""ปัตตานี!J341"")"),1)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IFERROR(__xludf.DUMMYFUNCTION("IMPORTRANGE(""https://docs.google.com/spreadsheets/d/1IYY_tgx_IHuhSq3AJ5eI5OnqOPBNLWSHKh2a30DoXe8/edit?usp=sharing"",""ปัตตานี!J342"")"),1)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IFERROR(__xludf.DUMMYFUNCTION("IMPORTRANGE(""https://docs.google.com/spreadsheets/d/1IYY_tgx_IHuhSq3AJ5eI5OnqOPBNLWSHKh2a30DoXe8/edit?usp=sharing"",""ปัตตานี!J343"")"),1)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7">
        <f ca="1">IFERROR(__xludf.DUMMYFUNCTION("IMPORTRANGE(""https://docs.google.com/spreadsheets/d/1IYY_tgx_IHuhSq3AJ5eI5OnqOPBNLWSHKh2a30DoXe8/edit?usp=sharing"",""ปัตตานี!J344"")"),10)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5">
        <f ca="1">IFERROR(__xludf.DUMMYFUNCTION("IMPORTRANGE(""https://docs.google.com/spreadsheets/d/1IYY_tgx_IHuhSq3AJ5eI5OnqOPBNLWSHKh2a30DoXe8/edit?usp=sharing"",""ปัตตานี!J345"")"),10)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4">
        <f ca="1">IFERROR(__xludf.DUMMYFUNCTION("IMPORTRANGE(""https://docs.google.com/spreadsheets/d/1IYY_tgx_IHuhSq3AJ5eI5OnqOPBNLWSHKh2a30DoXe8/edit?usp=sharing"",""ปัตตานี!J346"")"),0)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IFERROR(__xludf.DUMMYFUNCTION("IMPORTRANGE(""https://docs.google.com/spreadsheets/d/1IYY_tgx_IHuhSq3AJ5eI5OnqOPBNLWSHKh2a30DoXe8/edit?usp=sharing"",""ปัตตานี!I347"")"),0)</f>
        <v>0</v>
      </c>
      <c r="J452" s="194">
        <f ca="1">IFERROR(__xludf.DUMMYFUNCTION("IMPORTRANGE(""https://docs.google.com/spreadsheets/d/1IYY_tgx_IHuhSq3AJ5eI5OnqOPBNLWSHKh2a30DoXe8/edit?usp=sharing"",""ปัตตานี!J347"")"),0)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IFERROR(__xludf.DUMMYFUNCTION("IMPORTRANGE(""https://docs.google.com/spreadsheets/d/1IYY_tgx_IHuhSq3AJ5eI5OnqOPBNLWSHKh2a30DoXe8/edit?usp=sharing"",""ปัตตานี!J348"")"),0)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IFERROR(__xludf.DUMMYFUNCTION("IMPORTRANGE(""https://docs.google.com/spreadsheets/d/1IYY_tgx_IHuhSq3AJ5eI5OnqOPBNLWSHKh2a30DoXe8/edit?usp=sharing"",""ปัตตานี!J349"")"),0)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IFERROR(__xludf.DUMMYFUNCTION("IMPORTRANGE(""https://docs.google.com/spreadsheets/d/1IYY_tgx_IHuhSq3AJ5eI5OnqOPBNLWSHKh2a30DoXe8/edit?usp=sharing"",""ปัตตานี!L350"")"),53226)</f>
        <v>53226</v>
      </c>
      <c r="M455" s="379"/>
      <c r="N455" s="379">
        <f ca="1">IFERROR(__xludf.DUMMYFUNCTION("IMPORTRANGE(""https://docs.google.com/spreadsheets/d/1IYY_tgx_IHuhSq3AJ5eI5OnqOPBNLWSHKh2a30DoXe8/edit?usp=sharing"",""ปัตตานี!M350"")"),49935.82)</f>
        <v>49935.82</v>
      </c>
      <c r="O455" s="379">
        <f t="shared" ref="O455:O459" ca="1" si="116">+IF(L455&gt;0,N455*100/L455,0)</f>
        <v>93.818472175252694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IFERROR(__xludf.DUMMYFUNCTION("IMPORTRANGE(""https://docs.google.com/spreadsheets/d/1IYY_tgx_IHuhSq3AJ5eI5OnqOPBNLWSHKh2a30DoXe8/edit?usp=sharing"",""ปัตตานี!L351"")"),0)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IFERROR(__xludf.DUMMYFUNCTION("IMPORTRANGE(""https://docs.google.com/spreadsheets/d/1IYY_tgx_IHuhSq3AJ5eI5OnqOPBNLWSHKh2a30DoXe8/edit?usp=sharing"",""ปัตตานี!M351"")"),0)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IFERROR(__xludf.DUMMYFUNCTION("IMPORTRANGE(""https://docs.google.com/spreadsheets/d/1IYY_tgx_IHuhSq3AJ5eI5OnqOPBNLWSHKh2a30DoXe8/edit?usp=sharing"",""ปัตตานี!L352"")"),53226)</f>
        <v>53226</v>
      </c>
      <c r="M457" s="169"/>
      <c r="N457" s="175">
        <f ca="1">IFERROR(__xludf.DUMMYFUNCTION("IMPORTRANGE(""https://docs.google.com/spreadsheets/d/1IYY_tgx_IHuhSq3AJ5eI5OnqOPBNLWSHKh2a30DoXe8/edit?usp=sharing"",""ปัตตานี!M352"")"),49935.82)</f>
        <v>49935.82</v>
      </c>
      <c r="O457" s="175">
        <f t="shared" ca="1" si="116"/>
        <v>93.818472175252694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IFERROR(__xludf.DUMMYFUNCTION("IMPORTRANGE(""https://docs.google.com/spreadsheets/d/1IYY_tgx_IHuhSq3AJ5eI5OnqOPBNLWSHKh2a30DoXe8/edit?usp=sharing"",""ปัตตานี!L353"")"),0)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IFERROR(__xludf.DUMMYFUNCTION("IMPORTRANGE(""https://docs.google.com/spreadsheets/d/1IYY_tgx_IHuhSq3AJ5eI5OnqOPBNLWSHKh2a30DoXe8/edit?usp=sharing"",""ปัตตานี!M353"")"),0)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IFERROR(__xludf.DUMMYFUNCTION("IMPORTRANGE(""https://docs.google.com/spreadsheets/d/1IYY_tgx_IHuhSq3AJ5eI5OnqOPBNLWSHKh2a30DoXe8/edit?usp=sharing"",""ปัตตานี!L354"")"),53226)</f>
        <v>53226</v>
      </c>
      <c r="M459" s="175"/>
      <c r="N459" s="175">
        <f ca="1">IFERROR(__xludf.DUMMYFUNCTION("IMPORTRANGE(""https://docs.google.com/spreadsheets/d/1IYY_tgx_IHuhSq3AJ5eI5OnqOPBNLWSHKh2a30DoXe8/edit?usp=sharing"",""ปัตตานี!M354"")"),49935.82)</f>
        <v>49935.82</v>
      </c>
      <c r="O459" s="175">
        <f t="shared" ca="1" si="116"/>
        <v>93.818472175252694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IFERROR(__xludf.DUMMYFUNCTION("IMPORTRANGE(""https://docs.google.com/spreadsheets/d/1IYY_tgx_IHuhSq3AJ5eI5OnqOPBNLWSHKh2a30DoXe8/edit?usp=sharing"",""ปัตตานี!M355"")"),0)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IFERROR(__xludf.DUMMYFUNCTION("IMPORTRANGE(""https://docs.google.com/spreadsheets/d/1IYY_tgx_IHuhSq3AJ5eI5OnqOPBNLWSHKh2a30DoXe8/edit?usp=sharing"",""ปัตตานี!M356"")"),0)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IFERROR(__xludf.DUMMYFUNCTION("IMPORTRANGE(""https://docs.google.com/spreadsheets/d/1IYY_tgx_IHuhSq3AJ5eI5OnqOPBNLWSHKh2a30DoXe8/edit?usp=sharing"",""ปัตตานี!M358"")"),49935.82)</f>
        <v>49935.82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IFERROR(__xludf.DUMMYFUNCTION("IMPORTRANGE(""https://docs.google.com/spreadsheets/d/1IYY_tgx_IHuhSq3AJ5eI5OnqOPBNLWSHKh2a30DoXe8/edit?usp=sharing"",""ปัตตานี!I359"")"),2341)</f>
        <v>2341</v>
      </c>
      <c r="J464" s="273">
        <f ca="1">IFERROR(__xludf.DUMMYFUNCTION("IMPORTRANGE(""https://docs.google.com/spreadsheets/d/1IYY_tgx_IHuhSq3AJ5eI5OnqOPBNLWSHKh2a30DoXe8/edit?usp=sharing"",""ปัตตานี!J359"")"),2341.08)</f>
        <v>2341.08</v>
      </c>
      <c r="K464" s="274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8">
        <f t="shared" ca="1" si="117"/>
        <v>100.00341734301581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IFERROR(__xludf.DUMMYFUNCTION("IMPORTRANGE(""https://docs.google.com/spreadsheets/d/1IYY_tgx_IHuhSq3AJ5eI5OnqOPBNLWSHKh2a30DoXe8/edit?usp=sharing"",""ปัตตานี!I362"")"),0)</f>
        <v>0</v>
      </c>
      <c r="J467" s="195">
        <f ca="1">IFERROR(__xludf.DUMMYFUNCTION("IMPORTRANGE(""https://docs.google.com/spreadsheets/d/1IYY_tgx_IHuhSq3AJ5eI5OnqOPBNLWSHKh2a30DoXe8/edit?usp=sharing"",""ปัตตานี!J362"")"),2216.29)</f>
        <v>2216.29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IFERROR(__xludf.DUMMYFUNCTION("IMPORTRANGE(""https://docs.google.com/spreadsheets/d/1IYY_tgx_IHuhSq3AJ5eI5OnqOPBNLWSHKh2a30DoXe8/edit?usp=sharing"",""ปัตตานี!I363"")"),0)</f>
        <v>0</v>
      </c>
      <c r="J468" s="195">
        <f ca="1">IFERROR(__xludf.DUMMYFUNCTION("IMPORTRANGE(""https://docs.google.com/spreadsheets/d/1IYY_tgx_IHuhSq3AJ5eI5OnqOPBNLWSHKh2a30DoXe8/edit?usp=sharing"",""ปัตตานี!J363"")"),379)</f>
        <v>379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IFERROR(__xludf.DUMMYFUNCTION("IMPORTRANGE(""https://docs.google.com/spreadsheets/d/1IYY_tgx_IHuhSq3AJ5eI5OnqOPBNLWSHKh2a30DoXe8/edit?usp=sharing"",""ปัตตานี!I364"")"),0)</f>
        <v>0</v>
      </c>
      <c r="J469" s="195">
        <f ca="1">IFERROR(__xludf.DUMMYFUNCTION("IMPORTRANGE(""https://docs.google.com/spreadsheets/d/1IYY_tgx_IHuhSq3AJ5eI5OnqOPBNLWSHKh2a30DoXe8/edit?usp=sharing"",""ปัตตานี!J364"")"),10.37)</f>
        <v>10.37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IFERROR(__xludf.DUMMYFUNCTION("IMPORTRANGE(""https://docs.google.com/spreadsheets/d/1IYY_tgx_IHuhSq3AJ5eI5OnqOPBNLWSHKh2a30DoXe8/edit?usp=sharing"",""ปัตตานี!I365"")"),0)</f>
        <v>0</v>
      </c>
      <c r="J470" s="195">
        <f ca="1">IFERROR(__xludf.DUMMYFUNCTION("IMPORTRANGE(""https://docs.google.com/spreadsheets/d/1IYY_tgx_IHuhSq3AJ5eI5OnqOPBNLWSHKh2a30DoXe8/edit?usp=sharing"",""ปัตตานี!J365"")"),2)</f>
        <v>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IFERROR(__xludf.DUMMYFUNCTION("IMPORTRANGE(""https://docs.google.com/spreadsheets/d/1IYY_tgx_IHuhSq3AJ5eI5OnqOPBNLWSHKh2a30DoXe8/edit?usp=sharing"",""ปัตตานี!I366"")"),0)</f>
        <v>0</v>
      </c>
      <c r="J471" s="195">
        <f ca="1">IFERROR(__xludf.DUMMYFUNCTION("IMPORTRANGE(""https://docs.google.com/spreadsheets/d/1IYY_tgx_IHuhSq3AJ5eI5OnqOPBNLWSHKh2a30DoXe8/edit?usp=sharing"",""ปัตตานี!J366"")"),114.42)</f>
        <v>114.42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IFERROR(__xludf.DUMMYFUNCTION("IMPORTRANGE(""https://docs.google.com/spreadsheets/d/1IYY_tgx_IHuhSq3AJ5eI5OnqOPBNLWSHKh2a30DoXe8/edit?usp=sharing"",""ปัตตานี!I367"")"),0)</f>
        <v>0</v>
      </c>
      <c r="J472" s="195">
        <f ca="1">IFERROR(__xludf.DUMMYFUNCTION("IMPORTRANGE(""https://docs.google.com/spreadsheets/d/1IYY_tgx_IHuhSq3AJ5eI5OnqOPBNLWSHKh2a30DoXe8/edit?usp=sharing"",""ปัตตานี!J367"")"),15)</f>
        <v>15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8">
        <f t="shared" ca="1" si="117"/>
        <v>100.00341734301581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IFERROR(__xludf.DUMMYFUNCTION("IMPORTRANGE(""https://docs.google.com/spreadsheets/d/1IYY_tgx_IHuhSq3AJ5eI5OnqOPBNLWSHKh2a30DoXe8/edit?usp=sharing"",""ปัตตานี!I370"")"),0)</f>
        <v>0</v>
      </c>
      <c r="J475" s="195">
        <f ca="1">IFERROR(__xludf.DUMMYFUNCTION("IMPORTRANGE(""https://docs.google.com/spreadsheets/d/1IYY_tgx_IHuhSq3AJ5eI5OnqOPBNLWSHKh2a30DoXe8/edit?usp=sharing"",""ปัตตานี!J370"")"),2226.66)</f>
        <v>2226.66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IFERROR(__xludf.DUMMYFUNCTION("IMPORTRANGE(""https://docs.google.com/spreadsheets/d/1IYY_tgx_IHuhSq3AJ5eI5OnqOPBNLWSHKh2a30DoXe8/edit?usp=sharing"",""ปัตตานี!I371"")"),0)</f>
        <v>0</v>
      </c>
      <c r="J476" s="195">
        <f ca="1">IFERROR(__xludf.DUMMYFUNCTION("IMPORTRANGE(""https://docs.google.com/spreadsheets/d/1IYY_tgx_IHuhSq3AJ5eI5OnqOPBNLWSHKh2a30DoXe8/edit?usp=sharing"",""ปัตตานี!J371"")"),381)</f>
        <v>381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IFERROR(__xludf.DUMMYFUNCTION("IMPORTRANGE(""https://docs.google.com/spreadsheets/d/1IYY_tgx_IHuhSq3AJ5eI5OnqOPBNLWSHKh2a30DoXe8/edit?usp=sharing"",""ปัตตานี!I372"")"),0)</f>
        <v>0</v>
      </c>
      <c r="J477" s="195">
        <f ca="1">IFERROR(__xludf.DUMMYFUNCTION("IMPORTRANGE(""https://docs.google.com/spreadsheets/d/1IYY_tgx_IHuhSq3AJ5eI5OnqOPBNLWSHKh2a30DoXe8/edit?usp=sharing"",""ปัตตานี!J372"")"),0)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IFERROR(__xludf.DUMMYFUNCTION("IMPORTRANGE(""https://docs.google.com/spreadsheets/d/1IYY_tgx_IHuhSq3AJ5eI5OnqOPBNLWSHKh2a30DoXe8/edit?usp=sharing"",""ปัตตานี!I373"")"),0)</f>
        <v>0</v>
      </c>
      <c r="J478" s="195">
        <f ca="1">IFERROR(__xludf.DUMMYFUNCTION("IMPORTRANGE(""https://docs.google.com/spreadsheets/d/1IYY_tgx_IHuhSq3AJ5eI5OnqOPBNLWSHKh2a30DoXe8/edit?usp=sharing"",""ปัตตานี!J373"")"),0)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IFERROR(__xludf.DUMMYFUNCTION("IMPORTRANGE(""https://docs.google.com/spreadsheets/d/1IYY_tgx_IHuhSq3AJ5eI5OnqOPBNLWSHKh2a30DoXe8/edit?usp=sharing"",""ปัตตานี!I374"")"),0)</f>
        <v>0</v>
      </c>
      <c r="J479" s="195">
        <f ca="1">IFERROR(__xludf.DUMMYFUNCTION("IMPORTRANGE(""https://docs.google.com/spreadsheets/d/1IYY_tgx_IHuhSq3AJ5eI5OnqOPBNLWSHKh2a30DoXe8/edit?usp=sharing"",""ปัตตานี!J374"")"),114.42)</f>
        <v>114.42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IFERROR(__xludf.DUMMYFUNCTION("IMPORTRANGE(""https://docs.google.com/spreadsheets/d/1IYY_tgx_IHuhSq3AJ5eI5OnqOPBNLWSHKh2a30DoXe8/edit?usp=sharing"",""ปัตตานี!I375"")"),0)</f>
        <v>0</v>
      </c>
      <c r="J480" s="195">
        <f ca="1">IFERROR(__xludf.DUMMYFUNCTION("IMPORTRANGE(""https://docs.google.com/spreadsheets/d/1IYY_tgx_IHuhSq3AJ5eI5OnqOPBNLWSHKh2a30DoXe8/edit?usp=sharing"",""ปัตตานี!J375"")"),15)</f>
        <v>15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8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IFERROR(__xludf.DUMMYFUNCTION("IMPORTRANGE(""https://docs.google.com/spreadsheets/d/1IYY_tgx_IHuhSq3AJ5eI5OnqOPBNLWSHKh2a30DoXe8/edit?usp=sharing"",""ปัตตานี!I378"")"),0)</f>
        <v>0</v>
      </c>
      <c r="J483" s="195">
        <f ca="1">IFERROR(__xludf.DUMMYFUNCTION("IMPORTRANGE(""https://docs.google.com/spreadsheets/d/1IYY_tgx_IHuhSq3AJ5eI5OnqOPBNLWSHKh2a30DoXe8/edit?usp=sharing"",""ปัตตานี!J378"")"),2226.66)</f>
        <v>2226.66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IFERROR(__xludf.DUMMYFUNCTION("IMPORTRANGE(""https://docs.google.com/spreadsheets/d/1IYY_tgx_IHuhSq3AJ5eI5OnqOPBNLWSHKh2a30DoXe8/edit?usp=sharing"",""ปัตตานี!I379"")"),0)</f>
        <v>0</v>
      </c>
      <c r="J484" s="195">
        <f ca="1">IFERROR(__xludf.DUMMYFUNCTION("IMPORTRANGE(""https://docs.google.com/spreadsheets/d/1IYY_tgx_IHuhSq3AJ5eI5OnqOPBNLWSHKh2a30DoXe8/edit?usp=sharing"",""ปัตตานี!J379"")"),381)</f>
        <v>381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IFERROR(__xludf.DUMMYFUNCTION("IMPORTRANGE(""https://docs.google.com/spreadsheets/d/1IYY_tgx_IHuhSq3AJ5eI5OnqOPBNLWSHKh2a30DoXe8/edit?usp=sharing"",""ปัตตานี!I380"")"),0)</f>
        <v>0</v>
      </c>
      <c r="J485" s="195">
        <f ca="1">IFERROR(__xludf.DUMMYFUNCTION("IMPORTRANGE(""https://docs.google.com/spreadsheets/d/1IYY_tgx_IHuhSq3AJ5eI5OnqOPBNLWSHKh2a30DoXe8/edit?usp=sharing"",""ปัตตานี!J380"")"),0)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IFERROR(__xludf.DUMMYFUNCTION("IMPORTRANGE(""https://docs.google.com/spreadsheets/d/1IYY_tgx_IHuhSq3AJ5eI5OnqOPBNLWSHKh2a30DoXe8/edit?usp=sharing"",""ปัตตานี!I381"")"),0)</f>
        <v>0</v>
      </c>
      <c r="J486" s="195">
        <f ca="1">IFERROR(__xludf.DUMMYFUNCTION("IMPORTRANGE(""https://docs.google.com/spreadsheets/d/1IYY_tgx_IHuhSq3AJ5eI5OnqOPBNLWSHKh2a30DoXe8/edit?usp=sharing"",""ปัตตานี!J381"")"),0)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IFERROR(__xludf.DUMMYFUNCTION("IMPORTRANGE(""https://docs.google.com/spreadsheets/d/1IYY_tgx_IHuhSq3AJ5eI5OnqOPBNLWSHKh2a30DoXe8/edit?usp=sharing"",""ปัตตานี!I384"")"),0)</f>
        <v>0</v>
      </c>
      <c r="J489" s="195">
        <f ca="1">IFERROR(__xludf.DUMMYFUNCTION("IMPORTRANGE(""https://docs.google.com/spreadsheets/d/1IYY_tgx_IHuhSq3AJ5eI5OnqOPBNLWSHKh2a30DoXe8/edit?usp=sharing"",""ปัตตานี!J384"")"),114.42)</f>
        <v>114.42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IFERROR(__xludf.DUMMYFUNCTION("IMPORTRANGE(""https://docs.google.com/spreadsheets/d/1IYY_tgx_IHuhSq3AJ5eI5OnqOPBNLWSHKh2a30DoXe8/edit?usp=sharing"",""ปัตตานี!I385"")"),0)</f>
        <v>0</v>
      </c>
      <c r="J490" s="195">
        <f ca="1">IFERROR(__xludf.DUMMYFUNCTION("IMPORTRANGE(""https://docs.google.com/spreadsheets/d/1IYY_tgx_IHuhSq3AJ5eI5OnqOPBNLWSHKh2a30DoXe8/edit?usp=sharing"",""ปัตตานี!J385"")"),15)</f>
        <v>15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IFERROR(__xludf.DUMMYFUNCTION("IMPORTRANGE(""https://docs.google.com/spreadsheets/d/1IYY_tgx_IHuhSq3AJ5eI5OnqOPBNLWSHKh2a30DoXe8/edit?usp=sharing"",""ปัตตานี!I386"")"),0)</f>
        <v>0</v>
      </c>
      <c r="J491" s="195">
        <f ca="1">IFERROR(__xludf.DUMMYFUNCTION("IMPORTRANGE(""https://docs.google.com/spreadsheets/d/1IYY_tgx_IHuhSq3AJ5eI5OnqOPBNLWSHKh2a30DoXe8/edit?usp=sharing"",""ปัตตานี!J386"")"),0)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IFERROR(__xludf.DUMMYFUNCTION("IMPORTRANGE(""https://docs.google.com/spreadsheets/d/1IYY_tgx_IHuhSq3AJ5eI5OnqOPBNLWSHKh2a30DoXe8/edit?usp=sharing"",""ปัตตานี!I387"")"),0)</f>
        <v>0</v>
      </c>
      <c r="J492" s="195">
        <f ca="1">IFERROR(__xludf.DUMMYFUNCTION("IMPORTRANGE(""https://docs.google.com/spreadsheets/d/1IYY_tgx_IHuhSq3AJ5eI5OnqOPBNLWSHKh2a30DoXe8/edit?usp=sharing"",""ปัตตานี!J387"")"),0)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IFERROR(__xludf.DUMMYFUNCTION("IMPORTRANGE(""https://docs.google.com/spreadsheets/d/1IYY_tgx_IHuhSq3AJ5eI5OnqOPBNLWSHKh2a30DoXe8/edit?usp=sharing"",""ปัตตานี!I388"")"),0)</f>
        <v>0</v>
      </c>
      <c r="J493" s="195">
        <f ca="1">IFERROR(__xludf.DUMMYFUNCTION("IMPORTRANGE(""https://docs.google.com/spreadsheets/d/1IYY_tgx_IHuhSq3AJ5eI5OnqOPBNLWSHKh2a30DoXe8/edit?usp=sharing"",""ปัตตานี!J388"")"),0)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IFERROR(__xludf.DUMMYFUNCTION("IMPORTRANGE(""https://docs.google.com/spreadsheets/d/1IYY_tgx_IHuhSq3AJ5eI5OnqOPBNLWSHKh2a30DoXe8/edit?usp=sharing"",""ปัตตานี!I395"")"),0)</f>
        <v>0</v>
      </c>
      <c r="J500" s="166">
        <f ca="1">IFERROR(__xludf.DUMMYFUNCTION("IMPORTRANGE(""https://docs.google.com/spreadsheets/d/1IYY_tgx_IHuhSq3AJ5eI5OnqOPBNLWSHKh2a30DoXe8/edit?usp=sharing"",""ปัตตานี!J395"")"),0)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IFERROR(__xludf.DUMMYFUNCTION("IMPORTRANGE(""https://docs.google.com/spreadsheets/d/1IYY_tgx_IHuhSq3AJ5eI5OnqOPBNLWSHKh2a30DoXe8/edit?usp=sharing"",""ปัตตานี!I396"")"),0)</f>
        <v>0</v>
      </c>
      <c r="J501" s="166">
        <f ca="1">IFERROR(__xludf.DUMMYFUNCTION("IMPORTRANGE(""https://docs.google.com/spreadsheets/d/1IYY_tgx_IHuhSq3AJ5eI5OnqOPBNLWSHKh2a30DoXe8/edit?usp=sharing"",""ปัตตานี!J396"")"),0)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IFERROR(__xludf.DUMMYFUNCTION("IMPORTRANGE(""https://docs.google.com/spreadsheets/d/1IYY_tgx_IHuhSq3AJ5eI5OnqOPBNLWSHKh2a30DoXe8/edit?usp=sharing"",""ปัตตานี!I397"")"),0)</f>
        <v>0</v>
      </c>
      <c r="J502" s="195">
        <f ca="1">IFERROR(__xludf.DUMMYFUNCTION("IMPORTRANGE(""https://docs.google.com/spreadsheets/d/1IYY_tgx_IHuhSq3AJ5eI5OnqOPBNLWSHKh2a30DoXe8/edit?usp=sharing"",""ปัตตานี!J397"")"),0)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IFERROR(__xludf.DUMMYFUNCTION("IMPORTRANGE(""https://docs.google.com/spreadsheets/d/1IYY_tgx_IHuhSq3AJ5eI5OnqOPBNLWSHKh2a30DoXe8/edit?usp=sharing"",""ปัตตานี!I398"")"),0)</f>
        <v>0</v>
      </c>
      <c r="J503" s="204">
        <f ca="1">IFERROR(__xludf.DUMMYFUNCTION("IMPORTRANGE(""https://docs.google.com/spreadsheets/d/1IYY_tgx_IHuhSq3AJ5eI5OnqOPBNLWSHKh2a30DoXe8/edit?usp=sharing"",""ปัตตานี!J398"")"),0)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IFERROR(__xludf.DUMMYFUNCTION("IMPORTRANGE(""https://docs.google.com/spreadsheets/d/1IYY_tgx_IHuhSq3AJ5eI5OnqOPBNLWSHKh2a30DoXe8/edit?usp=sharing"",""ปัตตานี!I399"")"),0)</f>
        <v>0</v>
      </c>
      <c r="J504" s="195">
        <f ca="1">IFERROR(__xludf.DUMMYFUNCTION("IMPORTRANGE(""https://docs.google.com/spreadsheets/d/1IYY_tgx_IHuhSq3AJ5eI5OnqOPBNLWSHKh2a30DoXe8/edit?usp=sharing"",""ปัตตานี!J399"")"),0)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IFERROR(__xludf.DUMMYFUNCTION("IMPORTRANGE(""https://docs.google.com/spreadsheets/d/1IYY_tgx_IHuhSq3AJ5eI5OnqOPBNLWSHKh2a30DoXe8/edit?usp=sharing"",""ปัตตานี!I400"")"),0)</f>
        <v>0</v>
      </c>
      <c r="J505" s="204">
        <f ca="1">IFERROR(__xludf.DUMMYFUNCTION("IMPORTRANGE(""https://docs.google.com/spreadsheets/d/1IYY_tgx_IHuhSq3AJ5eI5OnqOPBNLWSHKh2a30DoXe8/edit?usp=sharing"",""ปัตตานี!J400"")"),0)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IFERROR(__xludf.DUMMYFUNCTION("IMPORTRANGE(""https://docs.google.com/spreadsheets/d/1IYY_tgx_IHuhSq3AJ5eI5OnqOPBNLWSHKh2a30DoXe8/edit?usp=sharing"",""ปัตตานี!I401"")"),0)</f>
        <v>0</v>
      </c>
      <c r="J506" s="195">
        <f ca="1">IFERROR(__xludf.DUMMYFUNCTION("IMPORTRANGE(""https://docs.google.com/spreadsheets/d/1IYY_tgx_IHuhSq3AJ5eI5OnqOPBNLWSHKh2a30DoXe8/edit?usp=sharing"",""ปัตตานี!J401"")"),0)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IFERROR(__xludf.DUMMYFUNCTION("IMPORTRANGE(""https://docs.google.com/spreadsheets/d/1IYY_tgx_IHuhSq3AJ5eI5OnqOPBNLWSHKh2a30DoXe8/edit?usp=sharing"",""ปัตตานี!I402"")"),0)</f>
        <v>0</v>
      </c>
      <c r="J507" s="204">
        <f ca="1">IFERROR(__xludf.DUMMYFUNCTION("IMPORTRANGE(""https://docs.google.com/spreadsheets/d/1IYY_tgx_IHuhSq3AJ5eI5OnqOPBNLWSHKh2a30DoXe8/edit?usp=sharing"",""ปัตตานี!J402"")"),0)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IFERROR(__xludf.DUMMYFUNCTION("IMPORTRANGE(""https://docs.google.com/spreadsheets/d/1IYY_tgx_IHuhSq3AJ5eI5OnqOPBNLWSHKh2a30DoXe8/edit?usp=sharing"",""ปัตตานี!I403"")"),0)</f>
        <v>0</v>
      </c>
      <c r="J508" s="166">
        <f ca="1">IFERROR(__xludf.DUMMYFUNCTION("IMPORTRANGE(""https://docs.google.com/spreadsheets/d/1IYY_tgx_IHuhSq3AJ5eI5OnqOPBNLWSHKh2a30DoXe8/edit?usp=sharing"",""ปัตตานี!J403"")"),0)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IFERROR(__xludf.DUMMYFUNCTION("IMPORTRANGE(""https://docs.google.com/spreadsheets/d/1IYY_tgx_IHuhSq3AJ5eI5OnqOPBNLWSHKh2a30DoXe8/edit?usp=sharing"",""ปัตตานี!I404"")"),0)</f>
        <v>0</v>
      </c>
      <c r="J509" s="166">
        <f ca="1">IFERROR(__xludf.DUMMYFUNCTION("IMPORTRANGE(""https://docs.google.com/spreadsheets/d/1IYY_tgx_IHuhSq3AJ5eI5OnqOPBNLWSHKh2a30DoXe8/edit?usp=sharing"",""ปัตตานี!J404"")"),0)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IFERROR(__xludf.DUMMYFUNCTION("IMPORTRANGE(""https://docs.google.com/spreadsheets/d/1IYY_tgx_IHuhSq3AJ5eI5OnqOPBNLWSHKh2a30DoXe8/edit?usp=sharing"",""ปัตตานี!I405"")"),0)</f>
        <v>0</v>
      </c>
      <c r="J510" s="204">
        <f ca="1">IFERROR(__xludf.DUMMYFUNCTION("IMPORTRANGE(""https://docs.google.com/spreadsheets/d/1IYY_tgx_IHuhSq3AJ5eI5OnqOPBNLWSHKh2a30DoXe8/edit?usp=sharing"",""ปัตตานี!J405"")"),0)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IFERROR(__xludf.DUMMYFUNCTION("IMPORTRANGE(""https://docs.google.com/spreadsheets/d/1IYY_tgx_IHuhSq3AJ5eI5OnqOPBNLWSHKh2a30DoXe8/edit?usp=sharing"",""ปัตตานี!I406"")"),0)</f>
        <v>0</v>
      </c>
      <c r="J511" s="204">
        <f ca="1">IFERROR(__xludf.DUMMYFUNCTION("IMPORTRANGE(""https://docs.google.com/spreadsheets/d/1IYY_tgx_IHuhSq3AJ5eI5OnqOPBNLWSHKh2a30DoXe8/edit?usp=sharing"",""ปัตตานี!J406"")"),0)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IFERROR(__xludf.DUMMYFUNCTION("IMPORTRANGE(""https://docs.google.com/spreadsheets/d/1IYY_tgx_IHuhSq3AJ5eI5OnqOPBNLWSHKh2a30DoXe8/edit?usp=sharing"",""ปัตตานี!I407"")"),0)</f>
        <v>0</v>
      </c>
      <c r="J512" s="204">
        <f ca="1">IFERROR(__xludf.DUMMYFUNCTION("IMPORTRANGE(""https://docs.google.com/spreadsheets/d/1IYY_tgx_IHuhSq3AJ5eI5OnqOPBNLWSHKh2a30DoXe8/edit?usp=sharing"",""ปัตตานี!J407"")"),0)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IFERROR(__xludf.DUMMYFUNCTION("IMPORTRANGE(""https://docs.google.com/spreadsheets/d/1IYY_tgx_IHuhSq3AJ5eI5OnqOPBNLWSHKh2a30DoXe8/edit?usp=sharing"",""ปัตตานี!I408"")"),0)</f>
        <v>0</v>
      </c>
      <c r="J513" s="204">
        <f ca="1">IFERROR(__xludf.DUMMYFUNCTION("IMPORTRANGE(""https://docs.google.com/spreadsheets/d/1IYY_tgx_IHuhSq3AJ5eI5OnqOPBNLWSHKh2a30DoXe8/edit?usp=sharing"",""ปัตตานี!J408"")"),0)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IFERROR(__xludf.DUMMYFUNCTION("IMPORTRANGE(""https://docs.google.com/spreadsheets/d/1IYY_tgx_IHuhSq3AJ5eI5OnqOPBNLWSHKh2a30DoXe8/edit?usp=sharing"",""ปัตตานี!I409"")"),0)</f>
        <v>0</v>
      </c>
      <c r="J514" s="204">
        <f ca="1">IFERROR(__xludf.DUMMYFUNCTION("IMPORTRANGE(""https://docs.google.com/spreadsheets/d/1IYY_tgx_IHuhSq3AJ5eI5OnqOPBNLWSHKh2a30DoXe8/edit?usp=sharing"",""ปัตตานี!J409"")"),0)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IFERROR(__xludf.DUMMYFUNCTION("IMPORTRANGE(""https://docs.google.com/spreadsheets/d/1IYY_tgx_IHuhSq3AJ5eI5OnqOPBNLWSHKh2a30DoXe8/edit?usp=sharing"",""ปัตตานี!I410"")"),0)</f>
        <v>0</v>
      </c>
      <c r="J515" s="204">
        <f ca="1">IFERROR(__xludf.DUMMYFUNCTION("IMPORTRANGE(""https://docs.google.com/spreadsheets/d/1IYY_tgx_IHuhSq3AJ5eI5OnqOPBNLWSHKh2a30DoXe8/edit?usp=sharing"",""ปัตตานี!J410"")"),0)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IFERROR(__xludf.DUMMYFUNCTION("IMPORTRANGE(""https://docs.google.com/spreadsheets/d/1IYY_tgx_IHuhSq3AJ5eI5OnqOPBNLWSHKh2a30DoXe8/edit?usp=sharing"",""ปัตตานี!I411"")"),0)</f>
        <v>0</v>
      </c>
      <c r="J516" s="273">
        <f ca="1">IFERROR(__xludf.DUMMYFUNCTION("IMPORTRANGE(""https://docs.google.com/spreadsheets/d/1IYY_tgx_IHuhSq3AJ5eI5OnqOPBNLWSHKh2a30DoXe8/edit?usp=sharing"",""ปัตตานี!J411"")"),0)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IFERROR(__xludf.DUMMYFUNCTION("IMPORTRANGE(""https://docs.google.com/spreadsheets/d/1IYY_tgx_IHuhSq3AJ5eI5OnqOPBNLWSHKh2a30DoXe8/edit?usp=sharing"",""ปัตตานี!I414"")"),0)</f>
        <v>0</v>
      </c>
      <c r="J519" s="194">
        <f ca="1">IFERROR(__xludf.DUMMYFUNCTION("IMPORTRANGE(""https://docs.google.com/spreadsheets/d/1IYY_tgx_IHuhSq3AJ5eI5OnqOPBNLWSHKh2a30DoXe8/edit?usp=sharing"",""ปัตตานี!J414"")"),0)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IFERROR(__xludf.DUMMYFUNCTION("IMPORTRANGE(""https://docs.google.com/spreadsheets/d/1IYY_tgx_IHuhSq3AJ5eI5OnqOPBNLWSHKh2a30DoXe8/edit?usp=sharing"",""ปัตตานี!I415"")"),0)</f>
        <v>0</v>
      </c>
      <c r="J520" s="194">
        <f ca="1">IFERROR(__xludf.DUMMYFUNCTION("IMPORTRANGE(""https://docs.google.com/spreadsheets/d/1IYY_tgx_IHuhSq3AJ5eI5OnqOPBNLWSHKh2a30DoXe8/edit?usp=sharing"",""ปัตตานี!J415"")"),0)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IFERROR(__xludf.DUMMYFUNCTION("IMPORTRANGE(""https://docs.google.com/spreadsheets/d/1IYY_tgx_IHuhSq3AJ5eI5OnqOPBNLWSHKh2a30DoXe8/edit?usp=sharing"",""ปัตตานี!I416"")"),0)</f>
        <v>0</v>
      </c>
      <c r="J521" s="194">
        <f ca="1">IFERROR(__xludf.DUMMYFUNCTION("IMPORTRANGE(""https://docs.google.com/spreadsheets/d/1IYY_tgx_IHuhSq3AJ5eI5OnqOPBNLWSHKh2a30DoXe8/edit?usp=sharing"",""ปัตตานี!J416"")"),0)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IFERROR(__xludf.DUMMYFUNCTION("IMPORTRANGE(""https://docs.google.com/spreadsheets/d/1IYY_tgx_IHuhSq3AJ5eI5OnqOPBNLWSHKh2a30DoXe8/edit?usp=sharing"",""ปัตตานี!I417"")"),0)</f>
        <v>0</v>
      </c>
      <c r="J522" s="194">
        <f ca="1">IFERROR(__xludf.DUMMYFUNCTION("IMPORTRANGE(""https://docs.google.com/spreadsheets/d/1IYY_tgx_IHuhSq3AJ5eI5OnqOPBNLWSHKh2a30DoXe8/edit?usp=sharing"",""ปัตตานี!J417"")"),0)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IFERROR(__xludf.DUMMYFUNCTION("IMPORTRANGE(""https://docs.google.com/spreadsheets/d/1IYY_tgx_IHuhSq3AJ5eI5OnqOPBNLWSHKh2a30DoXe8/edit?usp=sharing"",""ปัตตานี!I418"")"),0)</f>
        <v>0</v>
      </c>
      <c r="J523" s="194">
        <f ca="1">IFERROR(__xludf.DUMMYFUNCTION("IMPORTRANGE(""https://docs.google.com/spreadsheets/d/1IYY_tgx_IHuhSq3AJ5eI5OnqOPBNLWSHKh2a30DoXe8/edit?usp=sharing"",""ปัตตานี!J418"")"),0)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IFERROR(__xludf.DUMMYFUNCTION("IMPORTRANGE(""https://docs.google.com/spreadsheets/d/1IYY_tgx_IHuhSq3AJ5eI5OnqOPBNLWSHKh2a30DoXe8/edit?usp=sharing"",""ปัตตานี!I419"")"),0)</f>
        <v>0</v>
      </c>
      <c r="J524" s="194">
        <f ca="1">IFERROR(__xludf.DUMMYFUNCTION("IMPORTRANGE(""https://docs.google.com/spreadsheets/d/1IYY_tgx_IHuhSq3AJ5eI5OnqOPBNLWSHKh2a30DoXe8/edit?usp=sharing"",""ปัตตานี!J419"")"),0)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IFERROR(__xludf.DUMMYFUNCTION("IMPORTRANGE(""https://docs.google.com/spreadsheets/d/1IYY_tgx_IHuhSq3AJ5eI5OnqOPBNLWSHKh2a30DoXe8/edit?usp=sharing"",""ปัตตานี!I422"")"),0)</f>
        <v>0</v>
      </c>
      <c r="J527" s="204">
        <f ca="1">IFERROR(__xludf.DUMMYFUNCTION("IMPORTRANGE(""https://docs.google.com/spreadsheets/d/1IYY_tgx_IHuhSq3AJ5eI5OnqOPBNLWSHKh2a30DoXe8/edit?usp=sharing"",""ปัตตานี!J422"")"),0)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IFERROR(__xludf.DUMMYFUNCTION("IMPORTRANGE(""https://docs.google.com/spreadsheets/d/1IYY_tgx_IHuhSq3AJ5eI5OnqOPBNLWSHKh2a30DoXe8/edit?usp=sharing"",""ปัตตานี!I423"")"),0)</f>
        <v>0</v>
      </c>
      <c r="J528" s="204">
        <f ca="1">IFERROR(__xludf.DUMMYFUNCTION("IMPORTRANGE(""https://docs.google.com/spreadsheets/d/1IYY_tgx_IHuhSq3AJ5eI5OnqOPBNLWSHKh2a30DoXe8/edit?usp=sharing"",""ปัตตานี!J423"")"),0)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IFERROR(__xludf.DUMMYFUNCTION("IMPORTRANGE(""https://docs.google.com/spreadsheets/d/1IYY_tgx_IHuhSq3AJ5eI5OnqOPBNLWSHKh2a30DoXe8/edit?usp=sharing"",""ปัตตานี!I424"")"),0)</f>
        <v>0</v>
      </c>
      <c r="J529" s="204">
        <f ca="1">IFERROR(__xludf.DUMMYFUNCTION("IMPORTRANGE(""https://docs.google.com/spreadsheets/d/1IYY_tgx_IHuhSq3AJ5eI5OnqOPBNLWSHKh2a30DoXe8/edit?usp=sharing"",""ปัตตานี!J424"")"),0)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IFERROR(__xludf.DUMMYFUNCTION("IMPORTRANGE(""https://docs.google.com/spreadsheets/d/1IYY_tgx_IHuhSq3AJ5eI5OnqOPBNLWSHKh2a30DoXe8/edit?usp=sharing"",""ปัตตานี!I425"")"),0)</f>
        <v>0</v>
      </c>
      <c r="J530" s="204">
        <f ca="1">IFERROR(__xludf.DUMMYFUNCTION("IMPORTRANGE(""https://docs.google.com/spreadsheets/d/1IYY_tgx_IHuhSq3AJ5eI5OnqOPBNLWSHKh2a30DoXe8/edit?usp=sharing"",""ปัตตานี!J425"")"),0)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IFERROR(__xludf.DUMMYFUNCTION("IMPORTRANGE(""https://docs.google.com/spreadsheets/d/1IYY_tgx_IHuhSq3AJ5eI5OnqOPBNLWSHKh2a30DoXe8/edit?usp=sharing"",""ปัตตานี!I426"")"),0)</f>
        <v>0</v>
      </c>
      <c r="J531" s="204">
        <f ca="1">IFERROR(__xludf.DUMMYFUNCTION("IMPORTRANGE(""https://docs.google.com/spreadsheets/d/1IYY_tgx_IHuhSq3AJ5eI5OnqOPBNLWSHKh2a30DoXe8/edit?usp=sharing"",""ปัตตานี!J426"")"),0)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IFERROR(__xludf.DUMMYFUNCTION("IMPORTRANGE(""https://docs.google.com/spreadsheets/d/1IYY_tgx_IHuhSq3AJ5eI5OnqOPBNLWSHKh2a30DoXe8/edit?usp=sharing"",""ปัตตานี!M428"")"),30349.2)</f>
        <v>30349.200000000001</v>
      </c>
      <c r="O533" s="418">
        <f t="shared" ref="O533:O537" ca="1" si="118">+IF(L533&gt;0,N533*100/L533,0)</f>
        <v>92.981617647058826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IFERROR(__xludf.DUMMYFUNCTION("IMPORTRANGE(""https://docs.google.com/spreadsheets/d/1IYY_tgx_IHuhSq3AJ5eI5OnqOPBNLWSHKh2a30DoXe8/edit?usp=sharing"",""ปัตตานี!L429"")"),0)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IFERROR(__xludf.DUMMYFUNCTION("IMPORTRANGE(""https://docs.google.com/spreadsheets/d/1IYY_tgx_IHuhSq3AJ5eI5OnqOPBNLWSHKh2a30DoXe8/edit?usp=sharing"",""ปัตตานี!M429"")"),0)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5">
        <f ca="1">IFERROR(__xludf.DUMMYFUNCTION("IMPORTRANGE(""https://docs.google.com/spreadsheets/d/1IYY_tgx_IHuhSq3AJ5eI5OnqOPBNLWSHKh2a30DoXe8/edit?usp=sharing"",""ปัตตานี!M430"")"),30349.2)</f>
        <v>30349.200000000001</v>
      </c>
      <c r="O535" s="175">
        <f t="shared" ca="1" si="118"/>
        <v>92.981617647058826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IFERROR(__xludf.DUMMYFUNCTION("IMPORTRANGE(""https://docs.google.com/spreadsheets/d/1IYY_tgx_IHuhSq3AJ5eI5OnqOPBNLWSHKh2a30DoXe8/edit?usp=sharing"",""ปัตตานี!L431"")"),0)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IFERROR(__xludf.DUMMYFUNCTION("IMPORTRANGE(""https://docs.google.com/spreadsheets/d/1IYY_tgx_IHuhSq3AJ5eI5OnqOPBNLWSHKh2a30DoXe8/edit?usp=sharing"",""ปัตตานี!M431"")"),0)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IFERROR(__xludf.DUMMYFUNCTION("IMPORTRANGE(""https://docs.google.com/spreadsheets/d/1IYY_tgx_IHuhSq3AJ5eI5OnqOPBNLWSHKh2a30DoXe8/edit?usp=sharing"",""ปัตตานี!L432"")"),32640)</f>
        <v>32640</v>
      </c>
      <c r="M537" s="175"/>
      <c r="N537" s="175">
        <f ca="1">IFERROR(__xludf.DUMMYFUNCTION("IMPORTRANGE(""https://docs.google.com/spreadsheets/d/1IYY_tgx_IHuhSq3AJ5eI5OnqOPBNLWSHKh2a30DoXe8/edit?usp=sharing"",""ปัตตานี!M432"")"),30349.2)</f>
        <v>30349.200000000001</v>
      </c>
      <c r="O537" s="175">
        <f t="shared" ca="1" si="118"/>
        <v>92.981617647058826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IFERROR(__xludf.DUMMYFUNCTION("IMPORTRANGE(""https://docs.google.com/spreadsheets/d/1IYY_tgx_IHuhSq3AJ5eI5OnqOPBNLWSHKh2a30DoXe8/edit?usp=sharing"",""ปัตตานี!M436"")"),13309.2)</f>
        <v>13309.2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IFERROR(__xludf.DUMMYFUNCTION("IMPORTRANGE(""https://docs.google.com/spreadsheets/d/1IYY_tgx_IHuhSq3AJ5eI5OnqOPBNLWSHKh2a30DoXe8/edit?usp=sharing"",""ปัตตานี!J438"")"),0)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IFERROR(__xludf.DUMMYFUNCTION("IMPORTRANGE(""https://docs.google.com/spreadsheets/d/1IYY_tgx_IHuhSq3AJ5eI5OnqOPBNLWSHKh2a30DoXe8/edit?usp=sharing"",""ปัตตานี!J439"")"),1)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IFERROR(__xludf.DUMMYFUNCTION("IMPORTRANGE(""https://docs.google.com/spreadsheets/d/1IYY_tgx_IHuhSq3AJ5eI5OnqOPBNLWSHKh2a30DoXe8/edit?usp=sharing"",""ปัตตานี!J440"")"),1)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IFERROR(__xludf.DUMMYFUNCTION("IMPORTRANGE(""https://docs.google.com/spreadsheets/d/1IYY_tgx_IHuhSq3AJ5eI5OnqOPBNLWSHKh2a30DoXe8/edit?usp=sharing"",""ปัตตานี!J441"")"),1)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IFERROR(__xludf.DUMMYFUNCTION("IMPORTRANGE(""https://docs.google.com/spreadsheets/d/1IYY_tgx_IHuhSq3AJ5eI5OnqOPBNLWSHKh2a30DoXe8/edit?usp=sharing"",""ปัตตานี!I442"")"),20)</f>
        <v>20</v>
      </c>
      <c r="J547" s="195">
        <f ca="1">IFERROR(__xludf.DUMMYFUNCTION("IMPORTRANGE(""https://docs.google.com/spreadsheets/d/1IYY_tgx_IHuhSq3AJ5eI5OnqOPBNLWSHKh2a30DoXe8/edit?usp=sharing"",""ปัตตานี!J442"")"),20)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IFERROR(__xludf.DUMMYFUNCTION("IMPORTRANGE(""https://docs.google.com/spreadsheets/d/1IYY_tgx_IHuhSq3AJ5eI5OnqOPBNLWSHKh2a30DoXe8/edit?usp=sharing"",""ปัตตานี!J166"")"),0)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IFERROR(__xludf.DUMMYFUNCTION("IMPORTRANGE(""https://docs.google.com/spreadsheets/d/1IYY_tgx_IHuhSq3AJ5eI5OnqOPBNLWSHKh2a30DoXe8/edit?usp=sharing"",""ปัตตานี!J444"")"),0)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IFERROR(__xludf.DUMMYFUNCTION("IMPORTRANGE(""https://docs.google.com/spreadsheets/d/1IYY_tgx_IHuhSq3AJ5eI5OnqOPBNLWSHKh2a30DoXe8/edit?usp=sharing"",""ปัตตานี!L447"")"),0)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IFERROR(__xludf.DUMMYFUNCTION("IMPORTRANGE(""https://docs.google.com/spreadsheets/d/1IYY_tgx_IHuhSq3AJ5eI5OnqOPBNLWSHKh2a30DoXe8/edit?usp=sharing"",""ปัตตานี!M447"")"),0)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IFERROR(__xludf.DUMMYFUNCTION("IMPORTRANGE(""https://docs.google.com/spreadsheets/d/1IYY_tgx_IHuhSq3AJ5eI5OnqOPBNLWSHKh2a30DoXe8/edit?usp=sharing"",""ปัตตานี!M448"")"),0)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IFERROR(__xludf.DUMMYFUNCTION("IMPORTRANGE(""https://docs.google.com/spreadsheets/d/1IYY_tgx_IHuhSq3AJ5eI5OnqOPBNLWSHKh2a30DoXe8/edit?usp=sharing"",""ปัตตานี!L449"")"),0)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IFERROR(__xludf.DUMMYFUNCTION("IMPORTRANGE(""https://docs.google.com/spreadsheets/d/1IYY_tgx_IHuhSq3AJ5eI5OnqOPBNLWSHKh2a30DoXe8/edit?usp=sharing"",""ปัตตานี!M449"")"),0)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IFERROR(__xludf.DUMMYFUNCTION("IMPORTRANGE(""https://docs.google.com/spreadsheets/d/1IYY_tgx_IHuhSq3AJ5eI5OnqOPBNLWSHKh2a30DoXe8/edit?usp=sharing"",""ปัตตานี!L450"")"),0)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IFERROR(__xludf.DUMMYFUNCTION("IMPORTRANGE(""https://docs.google.com/spreadsheets/d/1IYY_tgx_IHuhSq3AJ5eI5OnqOPBNLWSHKh2a30DoXe8/edit?usp=sharing"",""ปัตตานี!M450"")"),0)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IFERROR(__xludf.DUMMYFUNCTION("IMPORTRANGE(""https://docs.google.com/spreadsheets/d/1IYY_tgx_IHuhSq3AJ5eI5OnqOPBNLWSHKh2a30DoXe8/edit?usp=sharing"",""ปัตตานี!M451"")"),0)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IFERROR(__xludf.DUMMYFUNCTION("IMPORTRANGE(""https://docs.google.com/spreadsheets/d/1IYY_tgx_IHuhSq3AJ5eI5OnqOPBNLWSHKh2a30DoXe8/edit?usp=sharing"",""ปัตตานี!M452"")"),0)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IFERROR(__xludf.DUMMYFUNCTION("IMPORTRANGE(""https://docs.google.com/spreadsheets/d/1IYY_tgx_IHuhSq3AJ5eI5OnqOPBNLWSHKh2a30DoXe8/edit?usp=sharing"",""ปัตตานี!M453"")"),0)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IFERROR(__xludf.DUMMYFUNCTION("IMPORTRANGE(""https://docs.google.com/spreadsheets/d/1IYY_tgx_IHuhSq3AJ5eI5OnqOPBNLWSHKh2a30DoXe8/edit?usp=sharing"",""ปัตตานี!M454"")"),0)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IFERROR(__xludf.DUMMYFUNCTION("IMPORTRANGE(""https://docs.google.com/spreadsheets/d/1IYY_tgx_IHuhSq3AJ5eI5OnqOPBNLWSHKh2a30DoXe8/edit?usp=sharing"",""ปัตตานี!I455"")"),0)</f>
        <v>0</v>
      </c>
      <c r="J560" s="166">
        <f ca="1">IFERROR(__xludf.DUMMYFUNCTION("IMPORTRANGE(""https://docs.google.com/spreadsheets/d/1IYY_tgx_IHuhSq3AJ5eI5OnqOPBNLWSHKh2a30DoXe8/edit?usp=sharing"",""ปัตตานี!J455"")"),0)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IFERROR(__xludf.DUMMYFUNCTION("IMPORTRANGE(""https://docs.google.com/spreadsheets/d/1IYY_tgx_IHuhSq3AJ5eI5OnqOPBNLWSHKh2a30DoXe8/edit?usp=sharing"",""ปัตตานี!I456"")"),0)</f>
        <v>0</v>
      </c>
      <c r="J561" s="210">
        <f ca="1">IFERROR(__xludf.DUMMYFUNCTION("IMPORTRANGE(""https://docs.google.com/spreadsheets/d/1IYY_tgx_IHuhSq3AJ5eI5OnqOPBNLWSHKh2a30DoXe8/edit?usp=sharing"",""ปัตตานี!J456"")"),0)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IFERROR(__xludf.DUMMYFUNCTION("IMPORTRANGE(""https://docs.google.com/spreadsheets/d/1IYY_tgx_IHuhSq3AJ5eI5OnqOPBNLWSHKh2a30DoXe8/edit?usp=sharing"",""ปัตตานี!J459"")"),879)</f>
        <v>879</v>
      </c>
      <c r="K564" s="378">
        <f ca="1">IF(I564&gt;0,J564*100/I564,0)</f>
        <v>439.5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IFERROR(__xludf.DUMMYFUNCTION("IMPORTRANGE(""https://docs.google.com/spreadsheets/d/1IYY_tgx_IHuhSq3AJ5eI5OnqOPBNLWSHKh2a30DoXe8/edit?usp=sharing"",""ปัตตานี!M459"")"),118847.48)</f>
        <v>118847.48</v>
      </c>
      <c r="O564" s="379">
        <f t="shared" ref="O564:O568" ca="1" si="122">+IF(L564&gt;0,N564*100/L564,0)</f>
        <v>99.437315930388223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IFERROR(__xludf.DUMMYFUNCTION("IMPORTRANGE(""https://docs.google.com/spreadsheets/d/1IYY_tgx_IHuhSq3AJ5eI5OnqOPBNLWSHKh2a30DoXe8/edit?usp=sharing"",""ปัตตานี!L460"")"),0)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IFERROR(__xludf.DUMMYFUNCTION("IMPORTRANGE(""https://docs.google.com/spreadsheets/d/1IYY_tgx_IHuhSq3AJ5eI5OnqOPBNLWSHKh2a30DoXe8/edit?usp=sharing"",""ปัตตานี!M460"")"),0)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5">
        <f ca="1">IFERROR(__xludf.DUMMYFUNCTION("IMPORTRANGE(""https://docs.google.com/spreadsheets/d/1IYY_tgx_IHuhSq3AJ5eI5OnqOPBNLWSHKh2a30DoXe8/edit?usp=sharing"",""ปัตตานี!M461"")"),118847.48)</f>
        <v>118847.48</v>
      </c>
      <c r="O566" s="175">
        <f t="shared" ca="1" si="122"/>
        <v>99.437315930388223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IFERROR(__xludf.DUMMYFUNCTION("IMPORTRANGE(""https://docs.google.com/spreadsheets/d/1IYY_tgx_IHuhSq3AJ5eI5OnqOPBNLWSHKh2a30DoXe8/edit?usp=sharing"",""ปัตตานี!L462"")"),0)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IFERROR(__xludf.DUMMYFUNCTION("IMPORTRANGE(""https://docs.google.com/spreadsheets/d/1IYY_tgx_IHuhSq3AJ5eI5OnqOPBNLWSHKh2a30DoXe8/edit?usp=sharing"",""ปัตตานี!M462"")"),0)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IFERROR(__xludf.DUMMYFUNCTION("IMPORTRANGE(""https://docs.google.com/spreadsheets/d/1IYY_tgx_IHuhSq3AJ5eI5OnqOPBNLWSHKh2a30DoXe8/edit?usp=sharing"",""ปัตตานี!L463"")"),119520)</f>
        <v>119520</v>
      </c>
      <c r="M568" s="175"/>
      <c r="N568" s="175">
        <f ca="1">IFERROR(__xludf.DUMMYFUNCTION("IMPORTRANGE(""https://docs.google.com/spreadsheets/d/1IYY_tgx_IHuhSq3AJ5eI5OnqOPBNLWSHKh2a30DoXe8/edit?usp=sharing"",""ปัตตานี!M463"")"),118847.48)</f>
        <v>118847.48</v>
      </c>
      <c r="O568" s="175">
        <f t="shared" ca="1" si="122"/>
        <v>99.437315930388223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IFERROR(__xludf.DUMMYFUNCTION("IMPORTRANGE(""https://docs.google.com/spreadsheets/d/1IYY_tgx_IHuhSq3AJ5eI5OnqOPBNLWSHKh2a30DoXe8/edit?usp=sharing"",""ปัตตานี!M464"")"),0)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IFERROR(__xludf.DUMMYFUNCTION("IMPORTRANGE(""https://docs.google.com/spreadsheets/d/1IYY_tgx_IHuhSq3AJ5eI5OnqOPBNLWSHKh2a30DoXe8/edit?usp=sharing"",""ปัตตานี!M465"")"),0)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IFERROR(__xludf.DUMMYFUNCTION("IMPORTRANGE(""https://docs.google.com/spreadsheets/d/1IYY_tgx_IHuhSq3AJ5eI5OnqOPBNLWSHKh2a30DoXe8/edit?usp=sharing"",""ปัตตานี!M466"")"),97935.48)</f>
        <v>97935.48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IFERROR(__xludf.DUMMYFUNCTION("IMPORTRANGE(""https://docs.google.com/spreadsheets/d/1IYY_tgx_IHuhSq3AJ5eI5OnqOPBNLWSHKh2a30DoXe8/edit?usp=sharing"",""ปัตตานี!M467"")"),20912)</f>
        <v>20912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IFERROR(__xludf.DUMMYFUNCTION("IMPORTRANGE(""https://docs.google.com/spreadsheets/d/1IYY_tgx_IHuhSq3AJ5eI5OnqOPBNLWSHKh2a30DoXe8/edit?usp=sharing"",""ปัตตานี!J468"")"),879)</f>
        <v>879</v>
      </c>
      <c r="K573" s="208">
        <f ca="1">IF(I573&gt;0,J573*100/I573,0)</f>
        <v>439.5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IFERROR(__xludf.DUMMYFUNCTION("IMPORTRANGE(""https://docs.google.com/spreadsheets/d/1IYY_tgx_IHuhSq3AJ5eI5OnqOPBNLWSHKh2a30DoXe8/edit?usp=sharing"",""ปัตตานี!I470"")"),0)</f>
        <v>0</v>
      </c>
      <c r="J575" s="204">
        <f ca="1">IFERROR(__xludf.DUMMYFUNCTION("IMPORTRANGE(""https://docs.google.com/spreadsheets/d/1IYY_tgx_IHuhSq3AJ5eI5OnqOPBNLWSHKh2a30DoXe8/edit?usp=sharing"",""ปัตตานี!J470"")"),11)</f>
        <v>11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IFERROR(__xludf.DUMMYFUNCTION("IMPORTRANGE(""https://docs.google.com/spreadsheets/d/1IYY_tgx_IHuhSq3AJ5eI5OnqOPBNLWSHKh2a30DoXe8/edit?usp=sharing"",""ปัตตานี!I471"")"),0)</f>
        <v>0</v>
      </c>
      <c r="J576" s="204">
        <f ca="1">IFERROR(__xludf.DUMMYFUNCTION("IMPORTRANGE(""https://docs.google.com/spreadsheets/d/1IYY_tgx_IHuhSq3AJ5eI5OnqOPBNLWSHKh2a30DoXe8/edit?usp=sharing"",""ปัตตานี!J471"")"),328)</f>
        <v>328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IFERROR(__xludf.DUMMYFUNCTION("IMPORTRANGE(""https://docs.google.com/spreadsheets/d/1IYY_tgx_IHuhSq3AJ5eI5OnqOPBNLWSHKh2a30DoXe8/edit?usp=sharing"",""ปัตตานี!I472"")"),0)</f>
        <v>0</v>
      </c>
      <c r="J577" s="195">
        <f ca="1">IFERROR(__xludf.DUMMYFUNCTION("IMPORTRANGE(""https://docs.google.com/spreadsheets/d/1IYY_tgx_IHuhSq3AJ5eI5OnqOPBNLWSHKh2a30DoXe8/edit?usp=sharing"",""ปัตตานี!J472"")"),395)</f>
        <v>395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IFERROR(__xludf.DUMMYFUNCTION("IMPORTRANGE(""https://docs.google.com/spreadsheets/d/1IYY_tgx_IHuhSq3AJ5eI5OnqOPBNLWSHKh2a30DoXe8/edit?usp=sharing"",""ปัตตานี!I473"")"),0)</f>
        <v>0</v>
      </c>
      <c r="J578" s="204">
        <f ca="1">IFERROR(__xludf.DUMMYFUNCTION("IMPORTRANGE(""https://docs.google.com/spreadsheets/d/1IYY_tgx_IHuhSq3AJ5eI5OnqOPBNLWSHKh2a30DoXe8/edit?usp=sharing"",""ปัตตานี!J473"")"),1)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IFERROR(__xludf.DUMMYFUNCTION("IMPORTRANGE(""https://docs.google.com/spreadsheets/d/1IYY_tgx_IHuhSq3AJ5eI5OnqOPBNLWSHKh2a30DoXe8/edit?usp=sharing"",""ปัตตานี!I474"")"),0)</f>
        <v>0</v>
      </c>
      <c r="J579" s="204">
        <f ca="1">IFERROR(__xludf.DUMMYFUNCTION("IMPORTRANGE(""https://docs.google.com/spreadsheets/d/1IYY_tgx_IHuhSq3AJ5eI5OnqOPBNLWSHKh2a30DoXe8/edit?usp=sharing"",""ปัตตานี!J474"")"),155)</f>
        <v>155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IFERROR(__xludf.DUMMYFUNCTION("IMPORTRANGE(""https://docs.google.com/spreadsheets/d/1IYY_tgx_IHuhSq3AJ5eI5OnqOPBNLWSHKh2a30DoXe8/edit?usp=sharing"",""ปัตตานี!L476"")"),0)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IFERROR(__xludf.DUMMYFUNCTION("IMPORTRANGE(""https://docs.google.com/spreadsheets/d/1IYY_tgx_IHuhSq3AJ5eI5OnqOPBNLWSHKh2a30DoXe8/edit?usp=sharing"",""ปัตตานี!M476"")"),0)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IFERROR(__xludf.DUMMYFUNCTION("IMPORTRANGE(""https://docs.google.com/spreadsheets/d/1IYY_tgx_IHuhSq3AJ5eI5OnqOPBNLWSHKh2a30DoXe8/edit?usp=sharing"",""ปัตตานี!M477"")"),0)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IFERROR(__xludf.DUMMYFUNCTION("IMPORTRANGE(""https://docs.google.com/spreadsheets/d/1IYY_tgx_IHuhSq3AJ5eI5OnqOPBNLWSHKh2a30DoXe8/edit?usp=sharing"",""ปัตตานี!L478"")"),0)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IFERROR(__xludf.DUMMYFUNCTION("IMPORTRANGE(""https://docs.google.com/spreadsheets/d/1IYY_tgx_IHuhSq3AJ5eI5OnqOPBNLWSHKh2a30DoXe8/edit?usp=sharing"",""ปัตตานี!M478"")"),0)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IFERROR(__xludf.DUMMYFUNCTION("IMPORTRANGE(""https://docs.google.com/spreadsheets/d/1IYY_tgx_IHuhSq3AJ5eI5OnqOPBNLWSHKh2a30DoXe8/edit?usp=sharing"",""ปัตตานี!L479"")"),0)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IFERROR(__xludf.DUMMYFUNCTION("IMPORTRANGE(""https://docs.google.com/spreadsheets/d/1IYY_tgx_IHuhSq3AJ5eI5OnqOPBNLWSHKh2a30DoXe8/edit?usp=sharing"",""ปัตตานี!M479"")"),0)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IFERROR(__xludf.DUMMYFUNCTION("IMPORTRANGE(""https://docs.google.com/spreadsheets/d/1IYY_tgx_IHuhSq3AJ5eI5OnqOPBNLWSHKh2a30DoXe8/edit?usp=sharing"",""ปัตตานี!M480"")"),0)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IFERROR(__xludf.DUMMYFUNCTION("IMPORTRANGE(""https://docs.google.com/spreadsheets/d/1IYY_tgx_IHuhSq3AJ5eI5OnqOPBNLWSHKh2a30DoXe8/edit?usp=sharing"",""ปัตตานี!M481"")"),0)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IFERROR(__xludf.DUMMYFUNCTION("IMPORTRANGE(""https://docs.google.com/spreadsheets/d/1IYY_tgx_IHuhSq3AJ5eI5OnqOPBNLWSHKh2a30DoXe8/edit?usp=sharing"",""ปัตตานี!M482"")"),0)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IFERROR(__xludf.DUMMYFUNCTION("IMPORTRANGE(""https://docs.google.com/spreadsheets/d/1IYY_tgx_IHuhSq3AJ5eI5OnqOPBNLWSHKh2a30DoXe8/edit?usp=sharing"",""ปัตตานี!M483"")"),0)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4">
        <f ca="1">IFERROR(__xludf.DUMMYFUNCTION("IMPORTRANGE(""https://docs.google.com/spreadsheets/d/1IYY_tgx_IHuhSq3AJ5eI5OnqOPBNLWSHKh2a30DoXe8/edit?usp=sharing"",""ปัตตานี!J484"")"),0)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4">
        <f ca="1">IFERROR(__xludf.DUMMYFUNCTION("IMPORTRANGE(""https://docs.google.com/spreadsheets/d/1IYY_tgx_IHuhSq3AJ5eI5OnqOPBNLWSHKh2a30DoXe8/edit?usp=sharing"",""ปัตตานี!J485"")"),0)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4">
        <f ca="1">IFERROR(__xludf.DUMMYFUNCTION("IMPORTRANGE(""https://docs.google.com/spreadsheets/d/1IYY_tgx_IHuhSq3AJ5eI5OnqOPBNLWSHKh2a30DoXe8/edit?usp=sharing"",""ปัตตานี!J486"")"),0)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4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4">
        <f ca="1">IFERROR(__xludf.DUMMYFUNCTION("IMPORTRANGE(""https://docs.google.com/spreadsheets/d/1IYY_tgx_IHuhSq3AJ5eI5OnqOPBNLWSHKh2a30DoXe8/edit?usp=sharing"",""ปัตตานี!J488"")"),0)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4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4">
        <f ca="1">IFERROR(__xludf.DUMMYFUNCTION("IMPORTRANGE(""https://docs.google.com/spreadsheets/d/1IYY_tgx_IHuhSq3AJ5eI5OnqOPBNLWSHKh2a30DoXe8/edit?usp=sharing"",""ปัตตานี!J490"")"),0)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IFERROR(__xludf.DUMMYFUNCTION("IMPORTRANGE(""https://docs.google.com/spreadsheets/d/1IYY_tgx_IHuhSq3AJ5eI5OnqOPBNLWSHKh2a30DoXe8/edit?usp=sharing"",""ปัตตานี!I491"")"),0)</f>
        <v>0</v>
      </c>
      <c r="J596" s="247">
        <f ca="1">IFERROR(__xludf.DUMMYFUNCTION("IMPORTRANGE(""https://docs.google.com/spreadsheets/d/1IYY_tgx_IHuhSq3AJ5eI5OnqOPBNLWSHKh2a30DoXe8/edit?usp=sharing"",""ปัตตานี!J491"")"),0)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IFERROR(__xludf.DUMMYFUNCTION("IMPORTRANGE(""https://docs.google.com/spreadsheets/d/1IYY_tgx_IHuhSq3AJ5eI5OnqOPBNLWSHKh2a30DoXe8/edit?usp=sharing"",""ปัตตานี!I492"")"),100)</f>
        <v>100</v>
      </c>
      <c r="J597" s="494">
        <f ca="1">IFERROR(__xludf.DUMMYFUNCTION("IMPORTRANGE(""https://docs.google.com/spreadsheets/d/1IYY_tgx_IHuhSq3AJ5eI5OnqOPBNLWSHKh2a30DoXe8/edit?usp=sharing"",""ปัตตานี!J492"")"),0)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IFERROR(__xludf.DUMMYFUNCTION("IMPORTRANGE(""https://docs.google.com/spreadsheets/d/1IYY_tgx_IHuhSq3AJ5eI5OnqOPBNLWSHKh2a30DoXe8/edit?usp=sharing"",""ปัตตานี!L492"")"),7300)</f>
        <v>7300</v>
      </c>
      <c r="M597" s="418"/>
      <c r="N597" s="418">
        <f ca="1">IFERROR(__xludf.DUMMYFUNCTION("IMPORTRANGE(""https://docs.google.com/spreadsheets/d/1IYY_tgx_IHuhSq3AJ5eI5OnqOPBNLWSHKh2a30DoXe8/edit?usp=sharing"",""ปัตตานี!M492"")"),25308)</f>
        <v>25308</v>
      </c>
      <c r="O597" s="418">
        <f t="shared" ref="O597:O601" ca="1" si="126">+IF(L597&gt;0,N597*100/L597,0)</f>
        <v>346.6849315068493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IFERROR(__xludf.DUMMYFUNCTION("IMPORTRANGE(""https://docs.google.com/spreadsheets/d/1IYY_tgx_IHuhSq3AJ5eI5OnqOPBNLWSHKh2a30DoXe8/edit?usp=sharing"",""ปัตตานี!L493"")"),0)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IFERROR(__xludf.DUMMYFUNCTION("IMPORTRANGE(""https://docs.google.com/spreadsheets/d/1IYY_tgx_IHuhSq3AJ5eI5OnqOPBNLWSHKh2a30DoXe8/edit?usp=sharing"",""ปัตตานี!M493"")"),0)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IFERROR(__xludf.DUMMYFUNCTION("IMPORTRANGE(""https://docs.google.com/spreadsheets/d/1IYY_tgx_IHuhSq3AJ5eI5OnqOPBNLWSHKh2a30DoXe8/edit?usp=sharing"",""ปัตตานี!L494"")"),7300)</f>
        <v>7300</v>
      </c>
      <c r="M599" s="169"/>
      <c r="N599" s="175">
        <f ca="1">IFERROR(__xludf.DUMMYFUNCTION("IMPORTRANGE(""https://docs.google.com/spreadsheets/d/1IYY_tgx_IHuhSq3AJ5eI5OnqOPBNLWSHKh2a30DoXe8/edit?usp=sharing"",""ปัตตานี!M494"")"),25308)</f>
        <v>25308</v>
      </c>
      <c r="O599" s="175">
        <f t="shared" ca="1" si="126"/>
        <v>346.6849315068493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IFERROR(__xludf.DUMMYFUNCTION("IMPORTRANGE(""https://docs.google.com/spreadsheets/d/1IYY_tgx_IHuhSq3AJ5eI5OnqOPBNLWSHKh2a30DoXe8/edit?usp=sharing"",""ปัตตานี!L495"")"),0)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IFERROR(__xludf.DUMMYFUNCTION("IMPORTRANGE(""https://docs.google.com/spreadsheets/d/1IYY_tgx_IHuhSq3AJ5eI5OnqOPBNLWSHKh2a30DoXe8/edit?usp=sharing"",""ปัตตานี!M495"")"),0)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IFERROR(__xludf.DUMMYFUNCTION("IMPORTRANGE(""https://docs.google.com/spreadsheets/d/1IYY_tgx_IHuhSq3AJ5eI5OnqOPBNLWSHKh2a30DoXe8/edit?usp=sharing"",""ปัตตานี!L496"")"),7300)</f>
        <v>7300</v>
      </c>
      <c r="M601" s="175"/>
      <c r="N601" s="175">
        <f ca="1">IFERROR(__xludf.DUMMYFUNCTION("IMPORTRANGE(""https://docs.google.com/spreadsheets/d/1IYY_tgx_IHuhSq3AJ5eI5OnqOPBNLWSHKh2a30DoXe8/edit?usp=sharing"",""ปัตตานี!M496"")"),25308)</f>
        <v>25308</v>
      </c>
      <c r="O601" s="175">
        <f t="shared" ca="1" si="126"/>
        <v>346.6849315068493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IFERROR(__xludf.DUMMYFUNCTION("IMPORTRANGE(""https://docs.google.com/spreadsheets/d/1IYY_tgx_IHuhSq3AJ5eI5OnqOPBNLWSHKh2a30DoXe8/edit?usp=sharing"",""ปัตตานี!M497"")"),0)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IFERROR(__xludf.DUMMYFUNCTION("IMPORTRANGE(""https://docs.google.com/spreadsheets/d/1IYY_tgx_IHuhSq3AJ5eI5OnqOPBNLWSHKh2a30DoXe8/edit?usp=sharing"",""ปัตตานี!M498"")"),0)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IFERROR(__xludf.DUMMYFUNCTION("IMPORTRANGE(""https://docs.google.com/spreadsheets/d/1IYY_tgx_IHuhSq3AJ5eI5OnqOPBNLWSHKh2a30DoXe8/edit?usp=sharing"",""ปัตตานี!M500"")"),25308)</f>
        <v>25308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IFERROR(__xludf.DUMMYFUNCTION("IMPORTRANGE(""https://docs.google.com/spreadsheets/d/1IYY_tgx_IHuhSq3AJ5eI5OnqOPBNLWSHKh2a30DoXe8/edit?usp=sharing"",""ปัตตานี!J502"")"),0)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IFERROR(__xludf.DUMMYFUNCTION("IMPORTRANGE(""https://docs.google.com/spreadsheets/d/1IYY_tgx_IHuhSq3AJ5eI5OnqOPBNLWSHKh2a30DoXe8/edit?usp=sharing"",""ปัตตานี!J503"")"),1)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IFERROR(__xludf.DUMMYFUNCTION("IMPORTRANGE(""https://docs.google.com/spreadsheets/d/1IYY_tgx_IHuhSq3AJ5eI5OnqOPBNLWSHKh2a30DoXe8/edit?usp=sharing"",""ปัตตานี!J166"")"),0)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IFERROR(__xludf.DUMMYFUNCTION("IMPORTRANGE(""https://docs.google.com/spreadsheets/d/1IYY_tgx_IHuhSq3AJ5eI5OnqOPBNLWSHKh2a30DoXe8/edit?usp=sharing"",""ปัตตานี!J166"")"),0)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IFERROR(__xludf.DUMMYFUNCTION("IMPORTRANGE(""https://docs.google.com/spreadsheets/d/1IYY_tgx_IHuhSq3AJ5eI5OnqOPBNLWSHKh2a30DoXe8/edit?usp=sharing"",""ปัตตานี!I506"")"),100)</f>
        <v>100</v>
      </c>
      <c r="J611" s="166">
        <f ca="1">IFERROR(__xludf.DUMMYFUNCTION("IMPORTRANGE(""https://docs.google.com/spreadsheets/d/1IYY_tgx_IHuhSq3AJ5eI5OnqOPBNLWSHKh2a30DoXe8/edit?usp=sharing"",""ปัตตานี!J506"")"),0)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IFERROR(__xludf.DUMMYFUNCTION("IMPORTRANGE(""https://docs.google.com/spreadsheets/d/1IYY_tgx_IHuhSq3AJ5eI5OnqOPBNLWSHKh2a30DoXe8/edit?usp=sharing"",""ปัตตานี!I507"")"),0)</f>
        <v>0</v>
      </c>
      <c r="J612" s="204">
        <f ca="1">IFERROR(__xludf.DUMMYFUNCTION("IMPORTRANGE(""https://docs.google.com/spreadsheets/d/1IYY_tgx_IHuhSq3AJ5eI5OnqOPBNLWSHKh2a30DoXe8/edit?usp=sharing"",""ปัตตานี!J507"")"),513.55)</f>
        <v>513.54999999999995</v>
      </c>
      <c r="K612" s="167">
        <f t="shared" ca="1" si="127"/>
        <v>513.54999999999995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IFERROR(__xludf.DUMMYFUNCTION("IMPORTRANGE(""https://docs.google.com/spreadsheets/d/1IYY_tgx_IHuhSq3AJ5eI5OnqOPBNLWSHKh2a30DoXe8/edit?usp=sharing"",""ปัตตานี!I508"")"),0)</f>
        <v>0</v>
      </c>
      <c r="J613" s="204">
        <f ca="1">IFERROR(__xludf.DUMMYFUNCTION("IMPORTRANGE(""https://docs.google.com/spreadsheets/d/1IYY_tgx_IHuhSq3AJ5eI5OnqOPBNLWSHKh2a30DoXe8/edit?usp=sharing"",""ปัตตานี!J508"")"),513.55)</f>
        <v>513.54999999999995</v>
      </c>
      <c r="K613" s="167">
        <f t="shared" ca="1" si="127"/>
        <v>513.54999999999995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IFERROR(__xludf.DUMMYFUNCTION("IMPORTRANGE(""https://docs.google.com/spreadsheets/d/1IYY_tgx_IHuhSq3AJ5eI5OnqOPBNLWSHKh2a30DoXe8/edit?usp=sharing"",""ปัตตานี!I509"")"),0)</f>
        <v>0</v>
      </c>
      <c r="J614" s="204">
        <f ca="1">IFERROR(__xludf.DUMMYFUNCTION("IMPORTRANGE(""https://docs.google.com/spreadsheets/d/1IYY_tgx_IHuhSq3AJ5eI5OnqOPBNLWSHKh2a30DoXe8/edit?usp=sharing"",""ปัตตานี!J509"")"),513.55)</f>
        <v>513.54999999999995</v>
      </c>
      <c r="K614" s="167">
        <f t="shared" ca="1" si="127"/>
        <v>513.54999999999995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IFERROR(__xludf.DUMMYFUNCTION("IMPORTRANGE(""https://docs.google.com/spreadsheets/d/1IYY_tgx_IHuhSq3AJ5eI5OnqOPBNLWSHKh2a30DoXe8/edit?usp=sharing"",""ปัตตานี!I510"")"),0)</f>
        <v>0</v>
      </c>
      <c r="J615" s="204">
        <f ca="1">IFERROR(__xludf.DUMMYFUNCTION("IMPORTRANGE(""https://docs.google.com/spreadsheets/d/1IYY_tgx_IHuhSq3AJ5eI5OnqOPBNLWSHKh2a30DoXe8/edit?usp=sharing"",""ปัตตานี!J510"")"),513.55)</f>
        <v>513.54999999999995</v>
      </c>
      <c r="K615" s="167">
        <f t="shared" ca="1" si="127"/>
        <v>513.54999999999995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IFERROR(__xludf.DUMMYFUNCTION("IMPORTRANGE(""https://docs.google.com/spreadsheets/d/1IYY_tgx_IHuhSq3AJ5eI5OnqOPBNLWSHKh2a30DoXe8/edit?usp=sharing"",""ปัตตานี!I511"")"),0)</f>
        <v>0</v>
      </c>
      <c r="J616" s="204">
        <f ca="1">IFERROR(__xludf.DUMMYFUNCTION("IMPORTRANGE(""https://docs.google.com/spreadsheets/d/1IYY_tgx_IHuhSq3AJ5eI5OnqOPBNLWSHKh2a30DoXe8/edit?usp=sharing"",""ปัตตานี!J511"")"),513.554)</f>
        <v>513.55399999999997</v>
      </c>
      <c r="K616" s="167">
        <f t="shared" ca="1" si="127"/>
        <v>513.55399999999997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IFERROR(__xludf.DUMMYFUNCTION("IMPORTRANGE(""https://docs.google.com/spreadsheets/d/1IYY_tgx_IHuhSq3AJ5eI5OnqOPBNLWSHKh2a30DoXe8/edit?usp=sharing"",""ปัตตานี!I512"")"),0)</f>
        <v>0</v>
      </c>
      <c r="J617" s="194">
        <f ca="1">IFERROR(__xludf.DUMMYFUNCTION("IMPORTRANGE(""https://docs.google.com/spreadsheets/d/1IYY_tgx_IHuhSq3AJ5eI5OnqOPBNLWSHKh2a30DoXe8/edit?usp=sharing"",""ปัตตานี!J512"")"),0)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IFERROR(__xludf.DUMMYFUNCTION("IMPORTRANGE(""https://docs.google.com/spreadsheets/d/1IYY_tgx_IHuhSq3AJ5eI5OnqOPBNLWSHKh2a30DoXe8/edit?usp=sharing"",""ปัตตานี!I513"")"),0)</f>
        <v>0</v>
      </c>
      <c r="J618" s="195">
        <f ca="1">IFERROR(__xludf.DUMMYFUNCTION("IMPORTRANGE(""https://docs.google.com/spreadsheets/d/1IYY_tgx_IHuhSq3AJ5eI5OnqOPBNLWSHKh2a30DoXe8/edit?usp=sharing"",""ปัตตานี!J513"")"),0)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IFERROR(__xludf.DUMMYFUNCTION("IMPORTRANGE(""https://docs.google.com/spreadsheets/d/1IYY_tgx_IHuhSq3AJ5eI5OnqOPBNLWSHKh2a30DoXe8/edit?usp=sharing"",""ปัตตานี!I514"")"),0)</f>
        <v>0</v>
      </c>
      <c r="J619" s="195">
        <f ca="1">IFERROR(__xludf.DUMMYFUNCTION("IMPORTRANGE(""https://docs.google.com/spreadsheets/d/1IYY_tgx_IHuhSq3AJ5eI5OnqOPBNLWSHKh2a30DoXe8/edit?usp=sharing"",""ปัตตานี!J514"")"),0)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IFERROR(__xludf.DUMMYFUNCTION("IMPORTRANGE(""https://docs.google.com/spreadsheets/d/1IYY_tgx_IHuhSq3AJ5eI5OnqOPBNLWSHKh2a30DoXe8/edit?usp=sharing"",""ปัตตานี!I515"")"),0)</f>
        <v>0</v>
      </c>
      <c r="J620" s="209">
        <f ca="1">IFERROR(__xludf.DUMMYFUNCTION("IMPORTRANGE(""https://docs.google.com/spreadsheets/d/1IYY_tgx_IHuhSq3AJ5eI5OnqOPBNLWSHKh2a30DoXe8/edit?usp=sharing"",""ปัตตานี!J515"")"),0)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IFERROR(__xludf.DUMMYFUNCTION("IMPORTRANGE(""https://docs.google.com/spreadsheets/d/1IYY_tgx_IHuhSq3AJ5eI5OnqOPBNLWSHKh2a30DoXe8/edit?usp=sharing"",""ปัตตานี!I516"")"),0)</f>
        <v>0</v>
      </c>
      <c r="J621" s="209">
        <f ca="1">IFERROR(__xludf.DUMMYFUNCTION("IMPORTRANGE(""https://docs.google.com/spreadsheets/d/1IYY_tgx_IHuhSq3AJ5eI5OnqOPBNLWSHKh2a30DoXe8/edit?usp=sharing"",""ปัตตานี!J516"")"),0)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IFERROR(__xludf.DUMMYFUNCTION("IMPORTRANGE(""https://docs.google.com/spreadsheets/d/1IYY_tgx_IHuhSq3AJ5eI5OnqOPBNLWSHKh2a30DoXe8/edit?usp=sharing"",""ปัตตานี!I517"")"),0)</f>
        <v>0</v>
      </c>
      <c r="J622" s="195">
        <f ca="1">IFERROR(__xludf.DUMMYFUNCTION("IMPORTRANGE(""https://docs.google.com/spreadsheets/d/1IYY_tgx_IHuhSq3AJ5eI5OnqOPBNLWSHKh2a30DoXe8/edit?usp=sharing"",""ปัตตานี!J517"")"),0)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IFERROR(__xludf.DUMMYFUNCTION("IMPORTRANGE(""https://docs.google.com/spreadsheets/d/1IYY_tgx_IHuhSq3AJ5eI5OnqOPBNLWSHKh2a30DoXe8/edit?usp=sharing"",""ปัตตานี!I518"")"),0)</f>
        <v>0</v>
      </c>
      <c r="J623" s="195">
        <f ca="1">IFERROR(__xludf.DUMMYFUNCTION("IMPORTRANGE(""https://docs.google.com/spreadsheets/d/1IYY_tgx_IHuhSq3AJ5eI5OnqOPBNLWSHKh2a30DoXe8/edit?usp=sharing"",""ปัตตานี!J518"")"),0)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IFERROR(__xludf.DUMMYFUNCTION("IMPORTRANGE(""https://docs.google.com/spreadsheets/d/1IYY_tgx_IHuhSq3AJ5eI5OnqOPBNLWSHKh2a30DoXe8/edit?usp=sharing"",""ปัตตานี!I519"")"),0)</f>
        <v>0</v>
      </c>
      <c r="J624" s="194">
        <f ca="1">IFERROR(__xludf.DUMMYFUNCTION("IMPORTRANGE(""https://docs.google.com/spreadsheets/d/1IYY_tgx_IHuhSq3AJ5eI5OnqOPBNLWSHKh2a30DoXe8/edit?usp=sharing"",""ปัตตานี!J519"")"),0)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IFERROR(__xludf.DUMMYFUNCTION("IMPORTRANGE(""https://docs.google.com/spreadsheets/d/1IYY_tgx_IHuhSq3AJ5eI5OnqOPBNLWSHKh2a30DoXe8/edit?usp=sharing"",""ปัตตานี!I520"")"),0)</f>
        <v>0</v>
      </c>
      <c r="J625" s="195">
        <f ca="1">IFERROR(__xludf.DUMMYFUNCTION("IMPORTRANGE(""https://docs.google.com/spreadsheets/d/1IYY_tgx_IHuhSq3AJ5eI5OnqOPBNLWSHKh2a30DoXe8/edit?usp=sharing"",""ปัตตานี!J520"")"),0)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IFERROR(__xludf.DUMMYFUNCTION("IMPORTRANGE(""https://docs.google.com/spreadsheets/d/1IYY_tgx_IHuhSq3AJ5eI5OnqOPBNLWSHKh2a30DoXe8/edit?usp=sharing"",""ปัตตานี!I521"")"),0)</f>
        <v>0</v>
      </c>
      <c r="J626" s="195">
        <f ca="1">IFERROR(__xludf.DUMMYFUNCTION("IMPORTRANGE(""https://docs.google.com/spreadsheets/d/1IYY_tgx_IHuhSq3AJ5eI5OnqOPBNLWSHKh2a30DoXe8/edit?usp=sharing"",""ปัตตานี!J521"")"),0)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IFERROR(__xludf.DUMMYFUNCTION("IMPORTRANGE(""https://docs.google.com/spreadsheets/d/1IYY_tgx_IHuhSq3AJ5eI5OnqOPBNLWSHKh2a30DoXe8/edit?usp=sharing"",""ปัตตานี!J523"")"),283401.33)</f>
        <v>283401.33</v>
      </c>
      <c r="K628" s="348">
        <f t="shared" ref="K628:K635" ca="1" si="129">IF(I628&gt;0,J628*100/I628,0)</f>
        <v>118.37917943062389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IFERROR(__xludf.DUMMYFUNCTION("IMPORTRANGE(""https://docs.google.com/spreadsheets/d/1IYY_tgx_IHuhSq3AJ5eI5OnqOPBNLWSHKh2a30DoXe8/edit?usp=sharing"",""ปัตตานี!J524"")"),16)</f>
        <v>16</v>
      </c>
      <c r="K629" s="348">
        <f t="shared" ca="1" si="129"/>
        <v>80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IFERROR(__xludf.DUMMYFUNCTION("IMPORTRANGE(""https://docs.google.com/spreadsheets/d/1IYY_tgx_IHuhSq3AJ5eI5OnqOPBNLWSHKh2a30DoXe8/edit?usp=sharing"",""ปัตตานี!J525"")"),194416.07)</f>
        <v>194416.07</v>
      </c>
      <c r="K630" s="348">
        <f t="shared" ca="1" si="129"/>
        <v>8.6698742074019783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IFERROR(__xludf.DUMMYFUNCTION("IMPORTRANGE(""https://docs.google.com/spreadsheets/d/1IYY_tgx_IHuhSq3AJ5eI5OnqOPBNLWSHKh2a30DoXe8/edit?usp=sharing"",""ปัตตานี!J526"")"),104)</f>
        <v>104</v>
      </c>
      <c r="K631" s="348">
        <f t="shared" ca="1" si="129"/>
        <v>69.798657718120808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IFERROR(__xludf.DUMMYFUNCTION("IMPORTRANGE(""https://docs.google.com/spreadsheets/d/1IYY_tgx_IHuhSq3AJ5eI5OnqOPBNLWSHKh2a30DoXe8/edit?usp=sharing"",""ปัตตานี!J527"")"),73829.25)</f>
        <v>73829.25</v>
      </c>
      <c r="K632" s="348">
        <f t="shared" ca="1" si="129"/>
        <v>162.18815862835271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IFERROR(__xludf.DUMMYFUNCTION("IMPORTRANGE(""https://docs.google.com/spreadsheets/d/1IYY_tgx_IHuhSq3AJ5eI5OnqOPBNLWSHKh2a30DoXe8/edit?usp=sharing"",""ปัตตานี!J528"")"),73)</f>
        <v>73</v>
      </c>
      <c r="K633" s="348">
        <f t="shared" ca="1" si="129"/>
        <v>84.883720930232556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IFERROR(__xludf.DUMMYFUNCTION("IMPORTRANGE(""https://docs.google.com/spreadsheets/d/1IYY_tgx_IHuhSq3AJ5eI5OnqOPBNLWSHKh2a30DoXe8/edit?usp=sharing"",""ปัตตานี!I529"")"),1204000)</f>
        <v>1204000</v>
      </c>
      <c r="J634" s="347">
        <f ca="1">IFERROR(__xludf.DUMMYFUNCTION("IMPORTRANGE(""https://docs.google.com/spreadsheets/d/1IYY_tgx_IHuhSq3AJ5eI5OnqOPBNLWSHKh2a30DoXe8/edit?usp=sharing"",""ปัตตานี!J529"")"),834000)</f>
        <v>834000</v>
      </c>
      <c r="K634" s="348">
        <f t="shared" ca="1" si="129"/>
        <v>69.269102990033218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IFERROR(__xludf.DUMMYFUNCTION("IMPORTRANGE(""https://docs.google.com/spreadsheets/d/1IYY_tgx_IHuhSq3AJ5eI5OnqOPBNLWSHKh2a30DoXe8/edit?usp=sharing"",""ปัตตานี!I530"")"),28)</f>
        <v>28</v>
      </c>
      <c r="J635" s="518">
        <f ca="1">IFERROR(__xludf.DUMMYFUNCTION("IMPORTRANGE(""https://docs.google.com/spreadsheets/d/1IYY_tgx_IHuhSq3AJ5eI5OnqOPBNLWSHKh2a30DoXe8/edit?usp=sharing"",""ปัตตานี!J530"")"),19)</f>
        <v>19</v>
      </c>
      <c r="K635" s="493">
        <f t="shared" ca="1" si="129"/>
        <v>67.857142857142861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IFERROR(__xludf.DUMMYFUNCTION("IMPORTRANGE(""https://docs.google.com/spreadsheets/d/1IYY_tgx_IHuhSq3AJ5eI5OnqOPBNLWSHKh2a30DoXe8/edit?usp=sharing"",""ปัตตานี!J541"")"),0)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IFERROR(__xludf.DUMMYFUNCTION("IMPORTRANGE(""https://docs.google.com/spreadsheets/d/1IYY_tgx_IHuhSq3AJ5eI5OnqOPBNLWSHKh2a30DoXe8/edit?usp=sharing"",""ปัตตานี!J542"")"),0)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IFERROR(__xludf.DUMMYFUNCTION("IMPORTRANGE(""https://docs.google.com/spreadsheets/d/1IYY_tgx_IHuhSq3AJ5eI5OnqOPBNLWSHKh2a30DoXe8/edit?usp=sharing"",""ปัตตานี!I543"")"),0)</f>
        <v>0</v>
      </c>
      <c r="J648" s="547">
        <f ca="1">IFERROR(__xludf.DUMMYFUNCTION("IMPORTRANGE(""https://docs.google.com/spreadsheets/d/1IYY_tgx_IHuhSq3AJ5eI5OnqOPBNLWSHKh2a30DoXe8/edit?usp=sharing"",""ปัตตานี!J543"")"),0)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IFERROR(__xludf.DUMMYFUNCTION("IMPORTRANGE(""https://docs.google.com/spreadsheets/d/1IYY_tgx_IHuhSq3AJ5eI5OnqOPBNLWSHKh2a30DoXe8/edit?usp=sharing"",""ปัตตานี!L543"")"),0)</f>
        <v>0</v>
      </c>
      <c r="M648" s="534"/>
      <c r="N648" s="549">
        <f ca="1">IFERROR(__xludf.DUMMYFUNCTION("IMPORTRANGE(""https://docs.google.com/spreadsheets/d/1IYY_tgx_IHuhSq3AJ5eI5OnqOPBNLWSHKh2a30DoXe8/edit?usp=sharing"",""ปัตตานี!M543"")"),0)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IFERROR(__xludf.DUMMYFUNCTION("IMPORTRANGE(""https://docs.google.com/spreadsheets/d/1IYY_tgx_IHuhSq3AJ5eI5OnqOPBNLWSHKh2a30DoXe8/edit?usp=sharing"",""ปัตตานี!I544"")"),0)</f>
        <v>0</v>
      </c>
      <c r="J649" s="547">
        <f ca="1">IFERROR(__xludf.DUMMYFUNCTION("IMPORTRANGE(""https://docs.google.com/spreadsheets/d/1IYY_tgx_IHuhSq3AJ5eI5OnqOPBNLWSHKh2a30DoXe8/edit?usp=sharing"",""ปัตตานี!J544"")"),0)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IFERROR(__xludf.DUMMYFUNCTION("IMPORTRANGE(""https://docs.google.com/spreadsheets/d/1IYY_tgx_IHuhSq3AJ5eI5OnqOPBNLWSHKh2a30DoXe8/edit?usp=sharing"",""ปัตตานี!L544"")"),0)</f>
        <v>0</v>
      </c>
      <c r="M649" s="534"/>
      <c r="N649" s="549">
        <f ca="1">IFERROR(__xludf.DUMMYFUNCTION("IMPORTRANGE(""https://docs.google.com/spreadsheets/d/1IYY_tgx_IHuhSq3AJ5eI5OnqOPBNLWSHKh2a30DoXe8/edit?usp=sharing"",""ปัตตานี!M544"")"),0)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IFERROR(__xludf.DUMMYFUNCTION("IMPORTRANGE(""https://docs.google.com/spreadsheets/d/1IYY_tgx_IHuhSq3AJ5eI5OnqOPBNLWSHKh2a30DoXe8/edit?usp=sharing"",""ปัตตานี!I545"")"),0)</f>
        <v>0</v>
      </c>
      <c r="J650" s="547">
        <f ca="1">IFERROR(__xludf.DUMMYFUNCTION("IMPORTRANGE(""https://docs.google.com/spreadsheets/d/1IYY_tgx_IHuhSq3AJ5eI5OnqOPBNLWSHKh2a30DoXe8/edit?usp=sharing"",""ปัตตานี!J545"")"),0)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IFERROR(__xludf.DUMMYFUNCTION("IMPORTRANGE(""https://docs.google.com/spreadsheets/d/1IYY_tgx_IHuhSq3AJ5eI5OnqOPBNLWSHKh2a30DoXe8/edit?usp=sharing"",""ปัตตานี!L545"")"),0)</f>
        <v>0</v>
      </c>
      <c r="M650" s="534"/>
      <c r="N650" s="549">
        <f ca="1">IFERROR(__xludf.DUMMYFUNCTION("IMPORTRANGE(""https://docs.google.com/spreadsheets/d/1IYY_tgx_IHuhSq3AJ5eI5OnqOPBNLWSHKh2a30DoXe8/edit?usp=sharing"",""ปัตตานี!M545"")"),0)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IFERROR(__xludf.DUMMYFUNCTION("IMPORTRANGE(""https://docs.google.com/spreadsheets/d/1IYY_tgx_IHuhSq3AJ5eI5OnqOPBNLWSHKh2a30DoXe8/edit?usp=sharing"",""ปัตตานี!I546"")"),0)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IFERROR(__xludf.DUMMYFUNCTION("IMPORTRANGE(""https://docs.google.com/spreadsheets/d/1IYY_tgx_IHuhSq3AJ5eI5OnqOPBNLWSHKh2a30DoXe8/edit?usp=sharing"",""ปัตตานี!L546"")"),0)</f>
        <v>0</v>
      </c>
      <c r="M651" s="534"/>
      <c r="N651" s="549">
        <f ca="1">IFERROR(__xludf.DUMMYFUNCTION("IMPORTRANGE(""https://docs.google.com/spreadsheets/d/1IYY_tgx_IHuhSq3AJ5eI5OnqOPBNLWSHKh2a30DoXe8/edit?usp=sharing"",""ปัตตานี!M546"")"),0)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IFERROR(__xludf.DUMMYFUNCTION("IMPORTRANGE(""https://docs.google.com/spreadsheets/d/1IYY_tgx_IHuhSq3AJ5eI5OnqOPBNLWSHKh2a30DoXe8/edit?usp=sharing"",""ปัตตานี!J547"")"),0)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IFERROR(__xludf.DUMMYFUNCTION("IMPORTRANGE(""https://docs.google.com/spreadsheets/d/1IYY_tgx_IHuhSq3AJ5eI5OnqOPBNLWSHKh2a30DoXe8/edit?usp=sharing"",""ปัตตานี!J548"")"),0)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IFERROR(__xludf.DUMMYFUNCTION("IMPORTRANGE(""https://docs.google.com/spreadsheets/d/1IYY_tgx_IHuhSq3AJ5eI5OnqOPBNLWSHKh2a30DoXe8/edit?usp=sharing"",""ปัตตานี!J550"")"),0)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IFERROR(__xludf.DUMMYFUNCTION("IMPORTRANGE(""https://docs.google.com/spreadsheets/d/1IYY_tgx_IHuhSq3AJ5eI5OnqOPBNLWSHKh2a30DoXe8/edit?usp=sharing"",""ปัตตานี!J551"")"),0)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IFERROR(__xludf.DUMMYFUNCTION("IMPORTRANGE(""https://docs.google.com/spreadsheets/d/1IYY_tgx_IHuhSq3AJ5eI5OnqOPBNLWSHKh2a30DoXe8/edit?usp=sharing"",""ปัตตานี!J552"")"),0)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IFERROR(__xludf.DUMMYFUNCTION("IMPORTRANGE(""https://docs.google.com/spreadsheets/d/1IYY_tgx_IHuhSq3AJ5eI5OnqOPBNLWSHKh2a30DoXe8/edit?usp=sharing"",""ปัตตานี!J553"")"),0)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IFERROR(__xludf.DUMMYFUNCTION("IMPORTRANGE(""https://docs.google.com/spreadsheets/d/1IYY_tgx_IHuhSq3AJ5eI5OnqOPBNLWSHKh2a30DoXe8/edit?usp=sharing"",""ปัตตานี!J554"")"),0)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IFERROR(__xludf.DUMMYFUNCTION("IMPORTRANGE(""https://docs.google.com/spreadsheets/d/1IYY_tgx_IHuhSq3AJ5eI5OnqOPBNLWSHKh2a30DoXe8/edit?usp=sharing"",""ปัตตานี!J555"")"),0)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IFERROR(__xludf.DUMMYFUNCTION("IMPORTRANGE(""https://docs.google.com/spreadsheets/d/1IYY_tgx_IHuhSq3AJ5eI5OnqOPBNLWSHKh2a30DoXe8/edit?usp=sharing"",""ปัตตานี!J556"")"),0)</f>
        <v>0</v>
      </c>
      <c r="K661" s="548"/>
      <c r="L661" s="535">
        <f ca="1">IFERROR(__xludf.DUMMYFUNCTION("IMPORTRANGE(""https://docs.google.com/spreadsheets/d/1IYY_tgx_IHuhSq3AJ5eI5OnqOPBNLWSHKh2a30DoXe8/edit?usp=sharing"",""ปัตตานี!L556"")"),0)</f>
        <v>0</v>
      </c>
      <c r="M661" s="534"/>
      <c r="N661" s="549">
        <f ca="1">IFERROR(__xludf.DUMMYFUNCTION("IMPORTRANGE(""https://docs.google.com/spreadsheets/d/1IYY_tgx_IHuhSq3AJ5eI5OnqOPBNLWSHKh2a30DoXe8/edit?usp=sharing"",""ปัตตานี!M556"")"),0)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IFERROR(__xludf.DUMMYFUNCTION("IMPORTRANGE(""https://docs.google.com/spreadsheets/d/1IYY_tgx_IHuhSq3AJ5eI5OnqOPBNLWSHKh2a30DoXe8/edit?usp=sharing"",""ปัตตานี!J557"")"),0)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IFERROR(__xludf.DUMMYFUNCTION("IMPORTRANGE(""https://docs.google.com/spreadsheets/d/1IYY_tgx_IHuhSq3AJ5eI5OnqOPBNLWSHKh2a30DoXe8/edit?usp=sharing"",""ปัตตานี!I558"")"),0)</f>
        <v>0</v>
      </c>
      <c r="J663" s="547">
        <f ca="1">IFERROR(__xludf.DUMMYFUNCTION("IMPORTRANGE(""https://docs.google.com/spreadsheets/d/1IYY_tgx_IHuhSq3AJ5eI5OnqOPBNLWSHKh2a30DoXe8/edit?usp=sharing"",""ปัตตานี!J558"")"),0)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IFERROR(__xludf.DUMMYFUNCTION("IMPORTRANGE(""https://docs.google.com/spreadsheets/d/1IYY_tgx_IHuhSq3AJ5eI5OnqOPBNLWSHKh2a30DoXe8/edit?usp=sharing"",""ปัตตานี!I560"")"),0)</f>
        <v>0</v>
      </c>
      <c r="J665" s="547">
        <f ca="1">IFERROR(__xludf.DUMMYFUNCTION("IMPORTRANGE(""https://docs.google.com/spreadsheets/d/1IYY_tgx_IHuhSq3AJ5eI5OnqOPBNLWSHKh2a30DoXe8/edit?usp=sharing"",""ปัตตานี!J560"")"),0)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IFERROR(__xludf.DUMMYFUNCTION("IMPORTRANGE(""https://docs.google.com/spreadsheets/d/1IYY_tgx_IHuhSq3AJ5eI5OnqOPBNLWSHKh2a30DoXe8/edit?usp=sharing"",""ปัตตานี!L560"")"),0)</f>
        <v>0</v>
      </c>
      <c r="M665" s="534"/>
      <c r="N665" s="549">
        <f ca="1">IFERROR(__xludf.DUMMYFUNCTION("IMPORTRANGE(""https://docs.google.com/spreadsheets/d/1IYY_tgx_IHuhSq3AJ5eI5OnqOPBNLWSHKh2a30DoXe8/edit?usp=sharing"",""ปัตตานี!M560"")"),0)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IFERROR(__xludf.DUMMYFUNCTION("IMPORTRANGE(""https://docs.google.com/spreadsheets/d/1IYY_tgx_IHuhSq3AJ5eI5OnqOPBNLWSHKh2a30DoXe8/edit?usp=sharing"",""ปัตตานี!J561"")"),0)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IFERROR(__xludf.DUMMYFUNCTION("IMPORTRANGE(""https://docs.google.com/spreadsheets/d/1IYY_tgx_IHuhSq3AJ5eI5OnqOPBNLWSHKh2a30DoXe8/edit?usp=sharing"",""ปัตตานี!J562"")"),0)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IFERROR(__xludf.DUMMYFUNCTION("IMPORTRANGE(""https://docs.google.com/spreadsheets/d/1IYY_tgx_IHuhSq3AJ5eI5OnqOPBNLWSHKh2a30DoXe8/edit?usp=sharing"",""ปัตตานี!I563"")"),0)</f>
        <v>0</v>
      </c>
      <c r="J668" s="547">
        <f ca="1">IFERROR(__xludf.DUMMYFUNCTION("IMPORTRANGE(""https://docs.google.com/spreadsheets/d/1IYY_tgx_IHuhSq3AJ5eI5OnqOPBNLWSHKh2a30DoXe8/edit?usp=sharing"",""ปัตตานี!J563"")"),0)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IFERROR(__xludf.DUMMYFUNCTION("IMPORTRANGE(""https://docs.google.com/spreadsheets/d/1IYY_tgx_IHuhSq3AJ5eI5OnqOPBNLWSHKh2a30DoXe8/edit?usp=sharing"",""ปัตตานี!L563"")"),0)</f>
        <v>0</v>
      </c>
      <c r="M668" s="534"/>
      <c r="N668" s="549">
        <f ca="1">IFERROR(__xludf.DUMMYFUNCTION("IMPORTRANGE(""https://docs.google.com/spreadsheets/d/1IYY_tgx_IHuhSq3AJ5eI5OnqOPBNLWSHKh2a30DoXe8/edit?usp=sharing"",""ปัตตานี!M563"")"),0)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IFERROR(__xludf.DUMMYFUNCTION("IMPORTRANGE(""https://docs.google.com/spreadsheets/d/1IYY_tgx_IHuhSq3AJ5eI5OnqOPBNLWSHKh2a30DoXe8/edit?usp=sharing"",""ปัตตานี!J564"")"),0)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IFERROR(__xludf.DUMMYFUNCTION("IMPORTRANGE(""https://docs.google.com/spreadsheets/d/1IYY_tgx_IHuhSq3AJ5eI5OnqOPBNLWSHKh2a30DoXe8/edit?usp=sharing"",""ปัตตานี!J565"")"),0)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IFERROR(__xludf.DUMMYFUNCTION("IMPORTRANGE(""https://docs.google.com/spreadsheets/d/1IYY_tgx_IHuhSq3AJ5eI5OnqOPBNLWSHKh2a30DoXe8/edit?usp=sharing"",""ปัตตานี!I566"")"),0)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IFERROR(__xludf.DUMMYFUNCTION("IMPORTRANGE(""https://docs.google.com/spreadsheets/d/1IYY_tgx_IHuhSq3AJ5eI5OnqOPBNLWSHKh2a30DoXe8/edit?usp=sharing"",""ปัตตานี!L566"")"),0)</f>
        <v>0</v>
      </c>
      <c r="M671" s="534"/>
      <c r="N671" s="549">
        <f ca="1">IFERROR(__xludf.DUMMYFUNCTION("IMPORTRANGE(""https://docs.google.com/spreadsheets/d/1IYY_tgx_IHuhSq3AJ5eI5OnqOPBNLWSHKh2a30DoXe8/edit?usp=sharing"",""ปัตตานี!M566"")"),0)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IFERROR(__xludf.DUMMYFUNCTION("IMPORTRANGE(""https://docs.google.com/spreadsheets/d/1IYY_tgx_IHuhSq3AJ5eI5OnqOPBNLWSHKh2a30DoXe8/edit?usp=sharing"",""ปัตตานี!J567"")"),0)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IFERROR(__xludf.DUMMYFUNCTION("IMPORTRANGE(""https://docs.google.com/spreadsheets/d/1IYY_tgx_IHuhSq3AJ5eI5OnqOPBNLWSHKh2a30DoXe8/edit?usp=sharing"",""ปัตตานี!J568"")"),0)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IFERROR(__xludf.DUMMYFUNCTION("IMPORTRANGE(""https://docs.google.com/spreadsheets/d/1IYY_tgx_IHuhSq3AJ5eI5OnqOPBNLWSHKh2a30DoXe8/edit?usp=sharing"",""ปัตตานี!J569"")"),0)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IFERROR(__xludf.DUMMYFUNCTION("IMPORTRANGE(""https://docs.google.com/spreadsheets/d/1IYY_tgx_IHuhSq3AJ5eI5OnqOPBNLWSHKh2a30DoXe8/edit?usp=sharing"",""ปัตตานี!J570"")"),0)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IFERROR(__xludf.DUMMYFUNCTION("IMPORTRANGE(""https://docs.google.com/spreadsheets/d/1IYY_tgx_IHuhSq3AJ5eI5OnqOPBNLWSHKh2a30DoXe8/edit?usp=sharing"",""ปัตตานี!J571"")"),0)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IFERROR(__xludf.DUMMYFUNCTION("IMPORTRANGE(""https://docs.google.com/spreadsheets/d/1IYY_tgx_IHuhSq3AJ5eI5OnqOPBNLWSHKh2a30DoXe8/edit?usp=sharing"",""ปัตตานี!J572"")"),0)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273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3450697</v>
      </c>
      <c r="M8" s="23">
        <f t="shared" ca="1" si="0"/>
        <v>2441944</v>
      </c>
      <c r="N8" s="23">
        <f t="shared" ca="1" si="0"/>
        <v>2244301.7199999997</v>
      </c>
      <c r="O8" s="22">
        <f t="shared" ref="O8:O16" ca="1" si="1">IF(L8&gt;0,N8*100/L8,0)</f>
        <v>65.039083987959529</v>
      </c>
      <c r="P8" s="22">
        <f t="shared" ref="P8:P16" ca="1" si="2">IF(M8&gt;0,N8*100/M8,0)</f>
        <v>91.906354936886331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3450697</v>
      </c>
      <c r="M10" s="30">
        <f t="shared" ca="1" si="4"/>
        <v>2441944</v>
      </c>
      <c r="N10" s="30">
        <f t="shared" ca="1" si="4"/>
        <v>2244301.7199999997</v>
      </c>
      <c r="O10" s="29">
        <f t="shared" ca="1" si="1"/>
        <v>65.039083987959529</v>
      </c>
      <c r="P10" s="29">
        <f t="shared" ca="1" si="2"/>
        <v>91.906354936886331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3276497</v>
      </c>
      <c r="M12" s="38">
        <f t="shared" ca="1" si="6"/>
        <v>2267744</v>
      </c>
      <c r="N12" s="38">
        <f t="shared" ca="1" si="6"/>
        <v>2070101.72</v>
      </c>
      <c r="O12" s="38">
        <f t="shared" ca="1" si="1"/>
        <v>63.180333142377364</v>
      </c>
      <c r="P12" s="38">
        <f t="shared" ca="1" si="2"/>
        <v>91.284630011147641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1741200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1535297</v>
      </c>
      <c r="M14" s="38">
        <f t="shared" si="8"/>
        <v>0</v>
      </c>
      <c r="N14" s="38">
        <f t="shared" ca="1" si="8"/>
        <v>711049</v>
      </c>
      <c r="O14" s="41">
        <f t="shared" ca="1" si="1"/>
        <v>46.313449449845862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2380125</v>
      </c>
      <c r="M18" s="23">
        <f t="shared" ca="1" si="11"/>
        <v>2441944</v>
      </c>
      <c r="N18" s="23">
        <f t="shared" ca="1" si="11"/>
        <v>1533252.72</v>
      </c>
      <c r="O18" s="22">
        <f t="shared" ref="O18:O20" ca="1" si="12">IF(L18&gt;0,N18*100/L18,0)</f>
        <v>64.418999842445245</v>
      </c>
      <c r="P18" s="22">
        <f t="shared" ref="P18:P26" ca="1" si="13">IF(M18&gt;0,N18*100/M18,0)</f>
        <v>62.788201531239046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2380125</v>
      </c>
      <c r="M20" s="30">
        <f t="shared" ca="1" si="15"/>
        <v>2441944</v>
      </c>
      <c r="N20" s="30">
        <f t="shared" ca="1" si="15"/>
        <v>1533252.72</v>
      </c>
      <c r="O20" s="29">
        <f t="shared" ca="1" si="12"/>
        <v>64.418999842445245</v>
      </c>
      <c r="P20" s="29">
        <f t="shared" ca="1" si="13"/>
        <v>62.788201531239046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2205925</v>
      </c>
      <c r="M22" s="42">
        <f t="shared" ca="1" si="18"/>
        <v>2267744</v>
      </c>
      <c r="N22" s="41">
        <f t="shared" ca="1" si="18"/>
        <v>1359052.72</v>
      </c>
      <c r="O22" s="41">
        <f t="shared" ca="1" si="17"/>
        <v>61.609198862155331</v>
      </c>
      <c r="P22" s="41">
        <f t="shared" ca="1" si="13"/>
        <v>59.929723990009457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1741200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464725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1070572</v>
      </c>
      <c r="M28" s="23">
        <f t="shared" si="23"/>
        <v>0</v>
      </c>
      <c r="N28" s="23">
        <f t="shared" ca="1" si="23"/>
        <v>711049</v>
      </c>
      <c r="O28" s="22">
        <f t="shared" ref="O28:O30" ca="1" si="24">IF(L28&gt;0,N28*100/L28,0)</f>
        <v>66.417672048213475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1070572</v>
      </c>
      <c r="M30" s="30">
        <f t="shared" si="27"/>
        <v>0</v>
      </c>
      <c r="N30" s="30">
        <f t="shared" ca="1" si="27"/>
        <v>711049</v>
      </c>
      <c r="O30" s="29">
        <f t="shared" ca="1" si="24"/>
        <v>66.417672048213475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1070572</v>
      </c>
      <c r="M32" s="41">
        <f t="shared" si="30"/>
        <v>0</v>
      </c>
      <c r="N32" s="41">
        <f t="shared" ca="1" si="30"/>
        <v>711049</v>
      </c>
      <c r="O32" s="41">
        <f t="shared" ca="1" si="29"/>
        <v>66.417672048213475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1070572</v>
      </c>
      <c r="M34" s="41">
        <f t="shared" si="32"/>
        <v>0</v>
      </c>
      <c r="N34" s="41">
        <f t="shared" ca="1" si="32"/>
        <v>711049</v>
      </c>
      <c r="O34" s="41">
        <f t="shared" ca="1" si="29"/>
        <v>66.417672048213475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2380125</v>
      </c>
      <c r="M37" s="55">
        <f t="shared" ca="1" si="33"/>
        <v>2441944</v>
      </c>
      <c r="N37" s="55">
        <f t="shared" ca="1" si="33"/>
        <v>1533252.72</v>
      </c>
      <c r="O37" s="56">
        <f t="shared" ca="1" si="29"/>
        <v>64.418999842445245</v>
      </c>
      <c r="P37" s="56">
        <f t="shared" ca="1" si="25"/>
        <v>62.788201531239046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4">L42+L43</f>
        <v>915600</v>
      </c>
      <c r="M41" s="79">
        <f t="shared" ca="1" si="34"/>
        <v>942600</v>
      </c>
      <c r="N41" s="79">
        <f t="shared" ca="1" si="34"/>
        <v>689718.47</v>
      </c>
      <c r="O41" s="78">
        <f t="shared" ref="O41:O43" ca="1" si="35">IF(L41&gt;0,N41*100/L41,0)</f>
        <v>75.329671253822625</v>
      </c>
      <c r="P41" s="78">
        <f t="shared" ref="P41:P43" ca="1" si="36">IF(M41&gt;0,N41*100/M41,0)</f>
        <v>73.171914916189266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915600</v>
      </c>
      <c r="M43" s="79">
        <f t="shared" ca="1" si="38"/>
        <v>942600</v>
      </c>
      <c r="N43" s="79">
        <f t="shared" ca="1" si="38"/>
        <v>689718.47</v>
      </c>
      <c r="O43" s="78">
        <f t="shared" ca="1" si="35"/>
        <v>75.329671253822625</v>
      </c>
      <c r="P43" s="78">
        <f t="shared" ca="1" si="36"/>
        <v>73.171914916189266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915600</v>
      </c>
      <c r="M45" s="91">
        <f ca="1">IFERROR(__xludf.DUMMYFUNCTION("IMPORTRANGE(""https://docs.google.com/spreadsheets/d/1Yj_ptqi66GCucihVvJfMjLAmec39IyEx_6qawtMGysU/edit?usp=sharing"",""สบก!Q87"")"),942600)</f>
        <v>942600</v>
      </c>
      <c r="N45" s="91">
        <f ca="1">IFERROR(__xludf.DUMMYFUNCTION("IMPORTRANGE(""https://docs.google.com/spreadsheets/d/1Yj_ptqi66GCucihVvJfMjLAmec39IyEx_6qawtMGysU/edit?usp=sharing"",""สบก!R87"")"),689718.47)</f>
        <v>689718.47</v>
      </c>
      <c r="O45" s="92">
        <f ca="1">IF(L45&gt;0,N45*100/L45,0)</f>
        <v>75.329671253822625</v>
      </c>
      <c r="P45" s="92">
        <f ca="1">IF(M45&gt;0,N45*100/M45,0)</f>
        <v>73.171914916189266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IFERROR(__xludf.DUMMYFUNCTION("IMPORTRANGE(""https://docs.google.com/spreadsheets/d/1Yj_ptqi66GCucihVvJfMjLAmec39IyEx_6qawtMGysU/edit?usp=sharing"",""สบก!M87"")"),915600)</f>
        <v>915600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9">L54+L55</f>
        <v>201600</v>
      </c>
      <c r="M53" s="125">
        <f t="shared" ca="1" si="39"/>
        <v>210316</v>
      </c>
      <c r="N53" s="125">
        <f t="shared" ca="1" si="39"/>
        <v>170936</v>
      </c>
      <c r="O53" s="124">
        <f t="shared" ref="O53:O55" ca="1" si="40">IF(L53&gt;0,N53*100/L53,0)</f>
        <v>84.789682539682545</v>
      </c>
      <c r="P53" s="124">
        <f t="shared" ref="P53:P55" ca="1" si="41">IF(M53&gt;0,N53*100/M53,0)</f>
        <v>81.275794518724211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201600</v>
      </c>
      <c r="M55" s="125">
        <f t="shared" ca="1" si="43"/>
        <v>210316</v>
      </c>
      <c r="N55" s="125">
        <f t="shared" ca="1" si="43"/>
        <v>170936</v>
      </c>
      <c r="O55" s="124">
        <f t="shared" ca="1" si="40"/>
        <v>84.789682539682545</v>
      </c>
      <c r="P55" s="124">
        <f t="shared" ca="1" si="41"/>
        <v>81.275794518724211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201600</v>
      </c>
      <c r="M57" s="91">
        <f ca="1">IFERROR(__xludf.DUMMYFUNCTION("IMPORTRANGE(""https://docs.google.com/spreadsheets/d/1Yj_ptqi66GCucihVvJfMjLAmec39IyEx_6qawtMGysU/edit?usp=sharing"",""สบก!Z87"")"),210316)</f>
        <v>210316</v>
      </c>
      <c r="N57" s="91">
        <f ca="1">IFERROR(__xludf.DUMMYFUNCTION("IMPORTRANGE(""https://docs.google.com/spreadsheets/d/1Yj_ptqi66GCucihVvJfMjLAmec39IyEx_6qawtMGysU/edit?usp=sharing"",""สบก!AA87"")"),170936)</f>
        <v>170936</v>
      </c>
      <c r="O57" s="92">
        <f ca="1">IF(L57&gt;0,N57*100/L57,0)</f>
        <v>84.789682539682545</v>
      </c>
      <c r="P57" s="92">
        <f ca="1">IF(M57&gt;0,N57*100/M57,0)</f>
        <v>81.275794518724211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IFERROR(__xludf.DUMMYFUNCTION("IMPORTRANGE(""https://docs.google.com/spreadsheets/d/1Yj_ptqi66GCucihVvJfMjLAmec39IyEx_6qawtMGysU/edit?usp=sharing"",""สบก!V87"")"),201600)</f>
        <v>201600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IFERROR(__xludf.DUMMYFUNCTION("IMPORTRANGE(""https://docs.google.com/spreadsheets/d/1Yj_ptqi66GCucihVvJfMjLAmec39IyEx_6qawtMGysU/edit?usp=sharing"",""สบก!AI87"")"),0)</f>
        <v>0</v>
      </c>
      <c r="N70" s="174">
        <f ca="1">IFERROR(__xludf.DUMMYFUNCTION("IMPORTRANGE(""https://docs.google.com/spreadsheets/d/1Yj_ptqi66GCucihVvJfMjLAmec39IyEx_6qawtMGysU/edit?usp=sharing"",""สบก!AJ87"")"),0)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IFERROR(__xludf.DUMMYFUNCTION("IMPORTRANGE(""https://docs.google.com/spreadsheets/d/1Yj_ptqi66GCucihVvJfMjLAmec39IyEx_6qawtMGysU/edit?usp=sharing"",""สบก!AE87"")"),0)</f>
        <v>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IFERROR(__xludf.DUMMYFUNCTION("IMPORTRANGE(""https://docs.google.com/spreadsheets/d/1Yj_ptqi66GCucihVvJfMjLAmec39IyEx_6qawtMGysU/edit?usp=sharing"",""สบก!AF87"")"),0)</f>
        <v>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IFERROR(__xludf.DUMMYFUNCTION("IMPORTRANGE(""https://docs.google.com/spreadsheets/d/1IYY_tgx_IHuhSq3AJ5eI5OnqOPBNLWSHKh2a30DoXe8/edit?usp=sharing"",""พังงา!J16"")"),0)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IFERROR(__xludf.DUMMYFUNCTION("IMPORTRANGE(""https://docs.google.com/spreadsheets/d/1IYY_tgx_IHuhSq3AJ5eI5OnqOPBNLWSHKh2a30DoXe8/edit?usp=sharing"",""พังงา!J17"")"),0)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IFERROR(__xludf.DUMMYFUNCTION("IMPORTRANGE(""https://docs.google.com/spreadsheets/d/1IYY_tgx_IHuhSq3AJ5eI5OnqOPBNLWSHKh2a30DoXe8/edit?usp=sharing"",""พังงา!J18"")"),0)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IFERROR(__xludf.DUMMYFUNCTION("IMPORTRANGE(""https://docs.google.com/spreadsheets/d/1IYY_tgx_IHuhSq3AJ5eI5OnqOPBNLWSHKh2a30DoXe8/edit?usp=sharing"",""พังงา!J19"")"),0)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IFERROR(__xludf.DUMMYFUNCTION("IMPORTRANGE(""https://docs.google.com/spreadsheets/d/1IYY_tgx_IHuhSq3AJ5eI5OnqOPBNLWSHKh2a30DoXe8/edit?usp=sharing"",""พังงา!I20"")"),0)</f>
        <v>0</v>
      </c>
      <c r="J80" s="207">
        <f ca="1">IFERROR(__xludf.DUMMYFUNCTION("IMPORTRANGE(""https://docs.google.com/spreadsheets/d/1IYY_tgx_IHuhSq3AJ5eI5OnqOPBNLWSHKh2a30DoXe8/edit?usp=sharing"",""พังงา!J20"")"),0)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IFERROR(__xludf.DUMMYFUNCTION("IMPORTRANGE(""https://docs.google.com/spreadsheets/d/1IYY_tgx_IHuhSq3AJ5eI5OnqOPBNLWSHKh2a30DoXe8/edit?usp=sharing"",""พังงา!I21"")"),0)</f>
        <v>0</v>
      </c>
      <c r="J81" s="207">
        <f ca="1">IFERROR(__xludf.DUMMYFUNCTION("IMPORTRANGE(""https://docs.google.com/spreadsheets/d/1IYY_tgx_IHuhSq3AJ5eI5OnqOPBNLWSHKh2a30DoXe8/edit?usp=sharing"",""พังงา!J21"")"),0)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IFERROR(__xludf.DUMMYFUNCTION("IMPORTRANGE(""https://docs.google.com/spreadsheets/d/1IYY_tgx_IHuhSq3AJ5eI5OnqOPBNLWSHKh2a30DoXe8/edit?usp=sharing"",""พังงา!I22"")"),0)</f>
        <v>0</v>
      </c>
      <c r="J82" s="210">
        <f ca="1">IFERROR(__xludf.DUMMYFUNCTION("IMPORTRANGE(""https://docs.google.com/spreadsheets/d/1IYY_tgx_IHuhSq3AJ5eI5OnqOPBNLWSHKh2a30DoXe8/edit?usp=sharing"",""พังงา!J22"")"),0)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IFERROR(__xludf.DUMMYFUNCTION("IMPORTRANGE(""https://docs.google.com/spreadsheets/d/1IYY_tgx_IHuhSq3AJ5eI5OnqOPBNLWSHKh2a30DoXe8/edit?usp=sharing"",""พังงา!I23"")"),0)</f>
        <v>0</v>
      </c>
      <c r="J83" s="210">
        <f ca="1">IFERROR(__xludf.DUMMYFUNCTION("IMPORTRANGE(""https://docs.google.com/spreadsheets/d/1IYY_tgx_IHuhSq3AJ5eI5OnqOPBNLWSHKh2a30DoXe8/edit?usp=sharing"",""พังงา!J23"")"),0)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IFERROR(__xludf.DUMMYFUNCTION("IMPORTRANGE(""https://docs.google.com/spreadsheets/d/1IYY_tgx_IHuhSq3AJ5eI5OnqOPBNLWSHKh2a30DoXe8/edit?usp=sharing"",""พังงา!I24"")"),0)</f>
        <v>0</v>
      </c>
      <c r="J84" s="195">
        <f ca="1">IFERROR(__xludf.DUMMYFUNCTION("IMPORTRANGE(""https://docs.google.com/spreadsheets/d/1IYY_tgx_IHuhSq3AJ5eI5OnqOPBNLWSHKh2a30DoXe8/edit?usp=sharing"",""พังงา!J24"")"),0)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IFERROR(__xludf.DUMMYFUNCTION("IMPORTRANGE(""https://docs.google.com/spreadsheets/d/1IYY_tgx_IHuhSq3AJ5eI5OnqOPBNLWSHKh2a30DoXe8/edit?usp=sharing"",""พังงา!I25"")"),0)</f>
        <v>0</v>
      </c>
      <c r="J85" s="195">
        <f ca="1">IFERROR(__xludf.DUMMYFUNCTION("IMPORTRANGE(""https://docs.google.com/spreadsheets/d/1IYY_tgx_IHuhSq3AJ5eI5OnqOPBNLWSHKh2a30DoXe8/edit?usp=sharing"",""พังงา!J25"")"),0)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IFERROR(__xludf.DUMMYFUNCTION("IMPORTRANGE(""https://docs.google.com/spreadsheets/d/1IYY_tgx_IHuhSq3AJ5eI5OnqOPBNLWSHKh2a30DoXe8/edit?usp=sharing"",""พังงา!I26"")"),0)</f>
        <v>0</v>
      </c>
      <c r="J86" s="210">
        <f ca="1">IFERROR(__xludf.DUMMYFUNCTION("IMPORTRANGE(""https://docs.google.com/spreadsheets/d/1IYY_tgx_IHuhSq3AJ5eI5OnqOPBNLWSHKh2a30DoXe8/edit?usp=sharing"",""พังงา!J26"")"),0)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IFERROR(__xludf.DUMMYFUNCTION("IMPORTRANGE(""https://docs.google.com/spreadsheets/d/1IYY_tgx_IHuhSq3AJ5eI5OnqOPBNLWSHKh2a30DoXe8/edit?usp=sharing"",""พังงา!I27"")"),0)</f>
        <v>0</v>
      </c>
      <c r="J87" s="210">
        <f ca="1">IFERROR(__xludf.DUMMYFUNCTION("IMPORTRANGE(""https://docs.google.com/spreadsheets/d/1IYY_tgx_IHuhSq3AJ5eI5OnqOPBNLWSHKh2a30DoXe8/edit?usp=sharing"",""พังงา!J27"")"),0)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IFERROR(__xludf.DUMMYFUNCTION("IMPORTRANGE(""https://docs.google.com/spreadsheets/d/1IYY_tgx_IHuhSq3AJ5eI5OnqOPBNLWSHKh2a30DoXe8/edit?usp=sharing"",""พังงา!I28"")"),0)</f>
        <v>0</v>
      </c>
      <c r="J88" s="210">
        <f ca="1">IFERROR(__xludf.DUMMYFUNCTION("IMPORTRANGE(""https://docs.google.com/spreadsheets/d/1IYY_tgx_IHuhSq3AJ5eI5OnqOPBNLWSHKh2a30DoXe8/edit?usp=sharing"",""พังงา!J28"")"),0)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IFERROR(__xludf.DUMMYFUNCTION("IMPORTRANGE(""https://docs.google.com/spreadsheets/d/1IYY_tgx_IHuhSq3AJ5eI5OnqOPBNLWSHKh2a30DoXe8/edit?usp=sharing"",""พังงา!J29"")"),0)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IFERROR(__xludf.DUMMYFUNCTION("IMPORTRANGE(""https://docs.google.com/spreadsheets/d/1IYY_tgx_IHuhSq3AJ5eI5OnqOPBNLWSHKh2a30DoXe8/edit?usp=sharing"",""พังงา!J30"")"),0)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IFERROR(__xludf.DUMMYFUNCTION("IMPORTRANGE(""https://docs.google.com/spreadsheets/d/1Yj_ptqi66GCucihVvJfMjLAmec39IyEx_6qawtMGysU/edit?usp=sharing"",""สบก!AR87"")"),0)</f>
        <v>0</v>
      </c>
      <c r="N98" s="174">
        <f ca="1">IFERROR(__xludf.DUMMYFUNCTION("IMPORTRANGE(""https://docs.google.com/spreadsheets/d/1Yj_ptqi66GCucihVvJfMjLAmec39IyEx_6qawtMGysU/edit?usp=sharing"",""สบก!AS87"")"),0)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IFERROR(__xludf.DUMMYFUNCTION("IMPORTRANGE(""https://docs.google.com/spreadsheets/d/1Yj_ptqi66GCucihVvJfMjLAmec39IyEx_6qawtMGysU/edit?usp=sharing"",""สบก!AN87"")"),0)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IFERROR(__xludf.DUMMYFUNCTION("IMPORTRANGE(""https://docs.google.com/spreadsheets/d/1Yj_ptqi66GCucihVvJfMjLAmec39IyEx_6qawtMGysU/edit?usp=sharing"",""สบก!AO87"")"),0)</f>
        <v>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IFERROR(__xludf.DUMMYFUNCTION("IMPORTRANGE(""https://docs.google.com/spreadsheets/d/1IYY_tgx_IHuhSq3AJ5eI5OnqOPBNLWSHKh2a30DoXe8/edit?usp=sharing"",""พังงา!J39"")"),0)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IFERROR(__xludf.DUMMYFUNCTION("IMPORTRANGE(""https://docs.google.com/spreadsheets/d/1IYY_tgx_IHuhSq3AJ5eI5OnqOPBNLWSHKh2a30DoXe8/edit?usp=sharing"",""พังงา!J40"")"),0)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IFERROR(__xludf.DUMMYFUNCTION("IMPORTRANGE(""https://docs.google.com/spreadsheets/d/1IYY_tgx_IHuhSq3AJ5eI5OnqOPBNLWSHKh2a30DoXe8/edit?usp=sharing"",""พังงา!J41"")"),0)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IFERROR(__xludf.DUMMYFUNCTION("IMPORTRANGE(""https://docs.google.com/spreadsheets/d/1IYY_tgx_IHuhSq3AJ5eI5OnqOPBNLWSHKh2a30DoXe8/edit?usp=sharing"",""พังงา!J42"")"),0)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IFERROR(__xludf.DUMMYFUNCTION("IMPORTRANGE(""https://docs.google.com/spreadsheets/d/1IYY_tgx_IHuhSq3AJ5eI5OnqOPBNLWSHKh2a30DoXe8/edit?usp=sharing"",""พังงา!I43"")"),0)</f>
        <v>0</v>
      </c>
      <c r="J108" s="210">
        <f ca="1">IFERROR(__xludf.DUMMYFUNCTION("IMPORTRANGE(""https://docs.google.com/spreadsheets/d/1IYY_tgx_IHuhSq3AJ5eI5OnqOPBNLWSHKh2a30DoXe8/edit?usp=sharing"",""พังงา!J43"")"),0)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IFERROR(__xludf.DUMMYFUNCTION("IMPORTRANGE(""https://docs.google.com/spreadsheets/d/1IYY_tgx_IHuhSq3AJ5eI5OnqOPBNLWSHKh2a30DoXe8/edit?usp=sharing"",""พังงา!I44"")"),0)</f>
        <v>0</v>
      </c>
      <c r="J109" s="210">
        <f ca="1">IFERROR(__xludf.DUMMYFUNCTION("IMPORTRANGE(""https://docs.google.com/spreadsheets/d/1IYY_tgx_IHuhSq3AJ5eI5OnqOPBNLWSHKh2a30DoXe8/edit?usp=sharing"",""พังงา!J44"")"),0)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IFERROR(__xludf.DUMMYFUNCTION("IMPORTRANGE(""https://docs.google.com/spreadsheets/d/1IYY_tgx_IHuhSq3AJ5eI5OnqOPBNLWSHKh2a30DoXe8/edit?usp=sharing"",""พังงา!I45"")"),0)</f>
        <v>0</v>
      </c>
      <c r="J110" s="210">
        <f ca="1">IFERROR(__xludf.DUMMYFUNCTION("IMPORTRANGE(""https://docs.google.com/spreadsheets/d/1IYY_tgx_IHuhSq3AJ5eI5OnqOPBNLWSHKh2a30DoXe8/edit?usp=sharing"",""พังงา!J45"")"),0)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IFERROR(__xludf.DUMMYFUNCTION("IMPORTRANGE(""https://docs.google.com/spreadsheets/d/1IYY_tgx_IHuhSq3AJ5eI5OnqOPBNLWSHKh2a30DoXe8/edit?usp=sharing"",""พังงา!I46"")"),0)</f>
        <v>0</v>
      </c>
      <c r="J111" s="210">
        <f ca="1">IFERROR(__xludf.DUMMYFUNCTION("IMPORTRANGE(""https://docs.google.com/spreadsheets/d/1IYY_tgx_IHuhSq3AJ5eI5OnqOPBNLWSHKh2a30DoXe8/edit?usp=sharing"",""พังงา!J46"")"),0)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IFERROR(__xludf.DUMMYFUNCTION("IMPORTRANGE(""https://docs.google.com/spreadsheets/d/1IYY_tgx_IHuhSq3AJ5eI5OnqOPBNLWSHKh2a30DoXe8/edit?usp=sharing"",""พังงา!I47"")"),0)</f>
        <v>0</v>
      </c>
      <c r="J112" s="210">
        <f ca="1">IFERROR(__xludf.DUMMYFUNCTION("IMPORTRANGE(""https://docs.google.com/spreadsheets/d/1IYY_tgx_IHuhSq3AJ5eI5OnqOPBNLWSHKh2a30DoXe8/edit?usp=sharing"",""พังงา!J47"")"),0)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IFERROR(__xludf.DUMMYFUNCTION("IMPORTRANGE(""https://docs.google.com/spreadsheets/d/1IYY_tgx_IHuhSq3AJ5eI5OnqOPBNLWSHKh2a30DoXe8/edit?usp=sharing"",""พังงา!I48"")"),0)</f>
        <v>0</v>
      </c>
      <c r="J113" s="210">
        <f ca="1">IFERROR(__xludf.DUMMYFUNCTION("IMPORTRANGE(""https://docs.google.com/spreadsheets/d/1IYY_tgx_IHuhSq3AJ5eI5OnqOPBNLWSHKh2a30DoXe8/edit?usp=sharing"",""พังงา!J48"")"),0)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IFERROR(__xludf.DUMMYFUNCTION("IMPORTRANGE(""https://docs.google.com/spreadsheets/d/1IYY_tgx_IHuhSq3AJ5eI5OnqOPBNLWSHKh2a30DoXe8/edit?usp=sharing"",""พังงา!J49"")"),0)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IFERROR(__xludf.DUMMYFUNCTION("IMPORTRANGE(""https://docs.google.com/spreadsheets/d/1IYY_tgx_IHuhSq3AJ5eI5OnqOPBNLWSHKh2a30DoXe8/edit?usp=sharing"",""พังงา!J50"")"),0)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40300</v>
      </c>
      <c r="O118" s="155">
        <f t="shared" ref="O118:O120" ca="1" si="59">IF(L118&gt;0,N118*100/L118,0)</f>
        <v>62.105100940052395</v>
      </c>
      <c r="P118" s="155">
        <f t="shared" ref="P118:P120" ca="1" si="60">IF(M118&gt;0,N118*100/M118,0)</f>
        <v>62.105100940052395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40300</v>
      </c>
      <c r="O120" s="160">
        <f t="shared" ca="1" si="59"/>
        <v>62.105100940052395</v>
      </c>
      <c r="P120" s="160">
        <f t="shared" ca="1" si="60"/>
        <v>62.105100940052395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IFERROR(__xludf.DUMMYFUNCTION("IMPORTRANGE(""https://docs.google.com/spreadsheets/d/1Yj_ptqi66GCucihVvJfMjLAmec39IyEx_6qawtMGysU/edit?usp=sharing"",""สบก!BA87"")"),64890)</f>
        <v>64890</v>
      </c>
      <c r="N122" s="174">
        <f ca="1">IFERROR(__xludf.DUMMYFUNCTION("IMPORTRANGE(""https://docs.google.com/spreadsheets/d/1Yj_ptqi66GCucihVvJfMjLAmec39IyEx_6qawtMGysU/edit?usp=sharing"",""สบก!BB87"")"),40300)</f>
        <v>40300</v>
      </c>
      <c r="O122" s="175">
        <f ca="1">IF(L122&gt;0,N122*100/L122,0)</f>
        <v>62.105100940052395</v>
      </c>
      <c r="P122" s="175">
        <f ca="1">IF(M122&gt;0,N122*100/M122,0)</f>
        <v>62.105100940052395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IFERROR(__xludf.DUMMYFUNCTION("IMPORTRANGE(""https://docs.google.com/spreadsheets/d/1Yj_ptqi66GCucihVvJfMjLAmec39IyEx_6qawtMGysU/edit?usp=sharing"",""สบก!AW87"")"),0)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IFERROR(__xludf.DUMMYFUNCTION("IMPORTRANGE(""https://docs.google.com/spreadsheets/d/1Yj_ptqi66GCucihVvJfMjLAmec39IyEx_6qawtMGysU/edit?usp=sharing"",""สบก!AX87"")"),64890)</f>
        <v>64890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274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IFERROR(__xludf.DUMMYFUNCTION("IMPORTRANGE(""https://docs.google.com/spreadsheets/d/1IYY_tgx_IHuhSq3AJ5eI5OnqOPBNLWSHKh2a30DoXe8/edit?usp=sharing"",""พังงา!J58"")"),0)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IFERROR(__xludf.DUMMYFUNCTION("IMPORTRANGE(""https://docs.google.com/spreadsheets/d/1IYY_tgx_IHuhSq3AJ5eI5OnqOPBNLWSHKh2a30DoXe8/edit?usp=sharing"",""พังงา!J59"")"),1)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IFERROR(__xludf.DUMMYFUNCTION("IMPORTRANGE(""https://docs.google.com/spreadsheets/d/1IYY_tgx_IHuhSq3AJ5eI5OnqOPBNLWSHKh2a30DoXe8/edit?usp=sharing"",""พังงา!J60"")"),1)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IFERROR(__xludf.DUMMYFUNCTION("IMPORTRANGE(""https://docs.google.com/spreadsheets/d/1IYY_tgx_IHuhSq3AJ5eI5OnqOPBNLWSHKh2a30DoXe8/edit?usp=sharing"",""พังงา!J61"")"),1)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IFERROR(__xludf.DUMMYFUNCTION("IMPORTRANGE(""https://docs.google.com/spreadsheets/d/1IYY_tgx_IHuhSq3AJ5eI5OnqOPBNLWSHKh2a30DoXe8/edit?usp=sharing"",""พังงา!I62"")"),15)</f>
        <v>15</v>
      </c>
      <c r="J132" s="210">
        <f ca="1">IFERROR(__xludf.DUMMYFUNCTION("IMPORTRANGE(""https://docs.google.com/spreadsheets/d/1IYY_tgx_IHuhSq3AJ5eI5OnqOPBNLWSHKh2a30DoXe8/edit?usp=sharing"",""พังงา!J62"")"),15)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IFERROR(__xludf.DUMMYFUNCTION("IMPORTRANGE(""https://docs.google.com/spreadsheets/d/1IYY_tgx_IHuhSq3AJ5eI5OnqOPBNLWSHKh2a30DoXe8/edit?usp=sharing"",""พังงา!I63"")"),15)</f>
        <v>15</v>
      </c>
      <c r="J133" s="210">
        <f ca="1">IFERROR(__xludf.DUMMYFUNCTION("IMPORTRANGE(""https://docs.google.com/spreadsheets/d/1IYY_tgx_IHuhSq3AJ5eI5OnqOPBNLWSHKh2a30DoXe8/edit?usp=sharing"",""พังงา!J63"")"),15)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IFERROR(__xludf.DUMMYFUNCTION("IMPORTRANGE(""https://docs.google.com/spreadsheets/d/1IYY_tgx_IHuhSq3AJ5eI5OnqOPBNLWSHKh2a30DoXe8/edit?usp=sharing"",""พังงา!J64"")"),0)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IFERROR(__xludf.DUMMYFUNCTION("IMPORTRANGE(""https://docs.google.com/spreadsheets/d/1IYY_tgx_IHuhSq3AJ5eI5OnqOPBNLWSHKh2a30DoXe8/edit?usp=sharing"",""พังงา!J65"")"),0)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IFERROR(__xludf.DUMMYFUNCTION("IMPORTRANGE(""https://docs.google.com/spreadsheets/d/1IYY_tgx_IHuhSq3AJ5eI5OnqOPBNLWSHKh2a30DoXe8/edit?usp=sharing"",""พังงา!I68"")"),0)</f>
        <v>0</v>
      </c>
      <c r="J138" s="273">
        <f ca="1">IFERROR(__xludf.DUMMYFUNCTION("IMPORTRANGE(""https://docs.google.com/spreadsheets/d/1IYY_tgx_IHuhSq3AJ5eI5OnqOPBNLWSHKh2a30DoXe8/edit?usp=sharing"",""พังงา!J68"")"),0)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4">L141+L142</f>
        <v>72500</v>
      </c>
      <c r="M140" s="156">
        <f t="shared" ca="1" si="64"/>
        <v>77953</v>
      </c>
      <c r="N140" s="156">
        <f t="shared" ca="1" si="64"/>
        <v>61733</v>
      </c>
      <c r="O140" s="155">
        <f t="shared" ref="O140:O142" ca="1" si="65">IF(L140&gt;0,N140*100/L140,0)</f>
        <v>85.148965517241379</v>
      </c>
      <c r="P140" s="155">
        <f t="shared" ref="P140:P142" ca="1" si="66">IF(M140&gt;0,N140*100/M140,0)</f>
        <v>79.192590407040143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72500</v>
      </c>
      <c r="M142" s="161">
        <f t="shared" ca="1" si="68"/>
        <v>77953</v>
      </c>
      <c r="N142" s="161">
        <f t="shared" ca="1" si="68"/>
        <v>61733</v>
      </c>
      <c r="O142" s="160">
        <f t="shared" ca="1" si="65"/>
        <v>85.148965517241379</v>
      </c>
      <c r="P142" s="160">
        <f t="shared" ca="1" si="66"/>
        <v>79.192590407040143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72500</v>
      </c>
      <c r="M144" s="173">
        <f ca="1">IFERROR(__xludf.DUMMYFUNCTION("IMPORTRANGE(""https://docs.google.com/spreadsheets/d/1Yj_ptqi66GCucihVvJfMjLAmec39IyEx_6qawtMGysU/edit?usp=sharing"",""สบก!BJ87"")"),77953)</f>
        <v>77953</v>
      </c>
      <c r="N144" s="174">
        <f ca="1">IFERROR(__xludf.DUMMYFUNCTION("IMPORTRANGE(""https://docs.google.com/spreadsheets/d/1Yj_ptqi66GCucihVvJfMjLAmec39IyEx_6qawtMGysU/edit?usp=sharing"",""สบก!BK87"")"),61733)</f>
        <v>61733</v>
      </c>
      <c r="O144" s="175">
        <f ca="1">IF(L144&gt;0,N144*100/L144,0)</f>
        <v>85.148965517241379</v>
      </c>
      <c r="P144" s="175">
        <f ca="1">IF(M144&gt;0,N144*100/M144,0)</f>
        <v>79.192590407040143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IFERROR(__xludf.DUMMYFUNCTION("IMPORTRANGE(""https://docs.google.com/spreadsheets/d/1Yj_ptqi66GCucihVvJfMjLAmec39IyEx_6qawtMGysU/edit?usp=sharing"",""สบก!BF87"")"),0)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IFERROR(__xludf.DUMMYFUNCTION("IMPORTRANGE(""https://docs.google.com/spreadsheets/d/1Yj_ptqi66GCucihVvJfMjLAmec39IyEx_6qawtMGysU/edit?usp=sharing"",""สบก!BG87"")"),72500)</f>
        <v>72500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IFERROR(__xludf.DUMMYFUNCTION("IMPORTRANGE(""https://docs.google.com/spreadsheets/d/1IYY_tgx_IHuhSq3AJ5eI5OnqOPBNLWSHKh2a30DoXe8/edit?usp=sharing"",""พังงา!I74"")"),4)</f>
        <v>4</v>
      </c>
      <c r="J149" s="281">
        <f ca="1">IFERROR(__xludf.DUMMYFUNCTION("IMPORTRANGE(""https://docs.google.com/spreadsheets/d/1IYY_tgx_IHuhSq3AJ5eI5OnqOPBNLWSHKh2a30DoXe8/edit?usp=sharing"",""พังงา!J74"")"),3)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IFERROR(__xludf.DUMMYFUNCTION("IMPORTRANGE(""https://docs.google.com/spreadsheets/d/1IYY_tgx_IHuhSq3AJ5eI5OnqOPBNLWSHKh2a30DoXe8/edit?usp=sharing"",""พังงา!J79"")"),0)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IFERROR(__xludf.DUMMYFUNCTION("IMPORTRANGE(""https://docs.google.com/spreadsheets/d/1IYY_tgx_IHuhSq3AJ5eI5OnqOPBNLWSHKh2a30DoXe8/edit?usp=sharing"",""พังงา!J80"")"),1)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IFERROR(__xludf.DUMMYFUNCTION("IMPORTRANGE(""https://docs.google.com/spreadsheets/d/1IYY_tgx_IHuhSq3AJ5eI5OnqOPBNLWSHKh2a30DoXe8/edit?usp=sharing"",""พังงา!J81"")"),1)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IFERROR(__xludf.DUMMYFUNCTION("IMPORTRANGE(""https://docs.google.com/spreadsheets/d/1IYY_tgx_IHuhSq3AJ5eI5OnqOPBNLWSHKh2a30DoXe8/edit?usp=sharing"",""พังงา!J82"")"),1)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IFERROR(__xludf.DUMMYFUNCTION("IMPORTRANGE(""https://docs.google.com/spreadsheets/d/1IYY_tgx_IHuhSq3AJ5eI5OnqOPBNLWSHKh2a30DoXe8/edit?usp=sharing"",""พังงา!I83"")"),4)</f>
        <v>4</v>
      </c>
      <c r="J158" s="195">
        <f ca="1">IFERROR(__xludf.DUMMYFUNCTION("IMPORTRANGE(""https://docs.google.com/spreadsheets/d/1IYY_tgx_IHuhSq3AJ5eI5OnqOPBNLWSHKh2a30DoXe8/edit?usp=sharing"",""พังงา!J83"")"),3)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IFERROR(__xludf.DUMMYFUNCTION("IMPORTRANGE(""https://docs.google.com/spreadsheets/d/1IYY_tgx_IHuhSq3AJ5eI5OnqOPBNLWSHKh2a30DoXe8/edit?usp=sharing"",""พังงา!J84"")"),129)</f>
        <v>129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IFERROR(__xludf.DUMMYFUNCTION("IMPORTRANGE(""https://docs.google.com/spreadsheets/d/1IYY_tgx_IHuhSq3AJ5eI5OnqOPBNLWSHKh2a30DoXe8/edit?usp=sharing"",""พังงา!J85"")"),129)</f>
        <v>129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IFERROR(__xludf.DUMMYFUNCTION("IMPORTRANGE(""https://docs.google.com/spreadsheets/d/1IYY_tgx_IHuhSq3AJ5eI5OnqOPBNLWSHKh2a30DoXe8/edit?usp=sharing"",""พังงา!J87"")"),0)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IFERROR(__xludf.DUMMYFUNCTION("IMPORTRANGE(""https://docs.google.com/spreadsheets/d/1IYY_tgx_IHuhSq3AJ5eI5OnqOPBNLWSHKh2a30DoXe8/edit?usp=sharing"",""พังงา!J88"")"),0)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IFERROR(__xludf.DUMMYFUNCTION("IMPORTRANGE(""https://docs.google.com/spreadsheets/d/1IYY_tgx_IHuhSq3AJ5eI5OnqOPBNLWSHKh2a30DoXe8/edit?usp=sharing"",""พังงา!J94"")"),0)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IFERROR(__xludf.DUMMYFUNCTION("IMPORTRANGE(""https://docs.google.com/spreadsheets/d/1IYY_tgx_IHuhSq3AJ5eI5OnqOPBNLWSHKh2a30DoXe8/edit?usp=sharing"",""พังงา!J95"")"),1)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IFERROR(__xludf.DUMMYFUNCTION("IMPORTRANGE(""https://docs.google.com/spreadsheets/d/1IYY_tgx_IHuhSq3AJ5eI5OnqOPBNLWSHKh2a30DoXe8/edit?usp=sharing"",""พังงา!J96"")"),1)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IFERROR(__xludf.DUMMYFUNCTION("IMPORTRANGE(""https://docs.google.com/spreadsheets/d/1IYY_tgx_IHuhSq3AJ5eI5OnqOPBNLWSHKh2a30DoXe8/edit?usp=sharing"",""พังงา!J97"")"),1)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IFERROR(__xludf.DUMMYFUNCTION("IMPORTRANGE(""https://docs.google.com/spreadsheets/d/1IYY_tgx_IHuhSq3AJ5eI5OnqOPBNLWSHKh2a30DoXe8/edit?usp=sharing"",""พังงา!I98"")"),4)</f>
        <v>4</v>
      </c>
      <c r="J173" s="195">
        <f ca="1">IFERROR(__xludf.DUMMYFUNCTION("IMPORTRANGE(""https://docs.google.com/spreadsheets/d/1IYY_tgx_IHuhSq3AJ5eI5OnqOPBNLWSHKh2a30DoXe8/edit?usp=sharing"",""พังงา!J98"")"),4)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IFERROR(__xludf.DUMMYFUNCTION("IMPORTRANGE(""https://docs.google.com/spreadsheets/d/1IYY_tgx_IHuhSq3AJ5eI5OnqOPBNLWSHKh2a30DoXe8/edit?usp=sharing"",""พังงา!J99"")"),0)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IFERROR(__xludf.DUMMYFUNCTION("IMPORTRANGE(""https://docs.google.com/spreadsheets/d/1IYY_tgx_IHuhSq3AJ5eI5OnqOPBNLWSHKh2a30DoXe8/edit?usp=sharing"",""พังงา!J100"")"),0)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IFERROR(__xludf.DUMMYFUNCTION("IMPORTRANGE(""https://docs.google.com/spreadsheets/d/1IYY_tgx_IHuhSq3AJ5eI5OnqOPBNLWSHKh2a30DoXe8/edit?usp=sharing"",""พังงา!J106"")"),0)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IFERROR(__xludf.DUMMYFUNCTION("IMPORTRANGE(""https://docs.google.com/spreadsheets/d/1IYY_tgx_IHuhSq3AJ5eI5OnqOPBNLWSHKh2a30DoXe8/edit?usp=sharing"",""พังงา!J107"")"),0)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IFERROR(__xludf.DUMMYFUNCTION("IMPORTRANGE(""https://docs.google.com/spreadsheets/d/1IYY_tgx_IHuhSq3AJ5eI5OnqOPBNLWSHKh2a30DoXe8/edit?usp=sharing"",""พังงา!J108"")"),0)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IFERROR(__xludf.DUMMYFUNCTION("IMPORTRANGE(""https://docs.google.com/spreadsheets/d/1IYY_tgx_IHuhSq3AJ5eI5OnqOPBNLWSHKh2a30DoXe8/edit?usp=sharing"",""พังงา!J109"")"),0)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IFERROR(__xludf.DUMMYFUNCTION("IMPORTRANGE(""https://docs.google.com/spreadsheets/d/1IYY_tgx_IHuhSq3AJ5eI5OnqOPBNLWSHKh2a30DoXe8/edit?usp=sharing"",""พังงา!I110"")"),0)</f>
        <v>0</v>
      </c>
      <c r="J185" s="210">
        <f ca="1">IFERROR(__xludf.DUMMYFUNCTION("IMPORTRANGE(""https://docs.google.com/spreadsheets/d/1IYY_tgx_IHuhSq3AJ5eI5OnqOPBNLWSHKh2a30DoXe8/edit?usp=sharing"",""พังงา!J110"")"),0)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IFERROR(__xludf.DUMMYFUNCTION("IMPORTRANGE(""https://docs.google.com/spreadsheets/d/1IYY_tgx_IHuhSq3AJ5eI5OnqOPBNLWSHKh2a30DoXe8/edit?usp=sharing"",""พังงา!I111"")"),0)</f>
        <v>0</v>
      </c>
      <c r="J186" s="210">
        <f ca="1">IFERROR(__xludf.DUMMYFUNCTION("IMPORTRANGE(""https://docs.google.com/spreadsheets/d/1IYY_tgx_IHuhSq3AJ5eI5OnqOPBNLWSHKh2a30DoXe8/edit?usp=sharing"",""พังงา!J111"")"),0)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IFERROR(__xludf.DUMMYFUNCTION("IMPORTRANGE(""https://docs.google.com/spreadsheets/d/1IYY_tgx_IHuhSq3AJ5eI5OnqOPBNLWSHKh2a30DoXe8/edit?usp=sharing"",""พังงา!J112"")"),0)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IFERROR(__xludf.DUMMYFUNCTION("IMPORTRANGE(""https://docs.google.com/spreadsheets/d/1IYY_tgx_IHuhSq3AJ5eI5OnqOPBNLWSHKh2a30DoXe8/edit?usp=sharing"",""พังงา!J113"")"),0)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IFERROR(__xludf.DUMMYFUNCTION("IMPORTRANGE(""https://docs.google.com/spreadsheets/d/1IYY_tgx_IHuhSq3AJ5eI5OnqOPBNLWSHKh2a30DoXe8/edit?usp=sharing"",""พังงา!J119"")"),0)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IFERROR(__xludf.DUMMYFUNCTION("IMPORTRANGE(""https://docs.google.com/spreadsheets/d/1IYY_tgx_IHuhSq3AJ5eI5OnqOPBNLWSHKh2a30DoXe8/edit?usp=sharing"",""พังงา!J120"")"),1)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IFERROR(__xludf.DUMMYFUNCTION("IMPORTRANGE(""https://docs.google.com/spreadsheets/d/1IYY_tgx_IHuhSq3AJ5eI5OnqOPBNLWSHKh2a30DoXe8/edit?usp=sharing"",""พังงา!J121"")"),0)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IFERROR(__xludf.DUMMYFUNCTION("IMPORTRANGE(""https://docs.google.com/spreadsheets/d/1IYY_tgx_IHuhSq3AJ5eI5OnqOPBNLWSHKh2a30DoXe8/edit?usp=sharing"",""พังงา!J122"")"),0)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IFERROR(__xludf.DUMMYFUNCTION("IMPORTRANGE(""https://docs.google.com/spreadsheets/d/1IYY_tgx_IHuhSq3AJ5eI5OnqOPBNLWSHKh2a30DoXe8/edit?usp=sharing"",""พังงา!I124"")"),20000)</f>
        <v>20000</v>
      </c>
      <c r="J199" s="195">
        <f ca="1">IFERROR(__xludf.DUMMYFUNCTION("IMPORTRANGE(""https://docs.google.com/spreadsheets/d/1IYY_tgx_IHuhSq3AJ5eI5OnqOPBNLWSHKh2a30DoXe8/edit?usp=sharing"",""พังงา!J124"")"),0)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IFERROR(__xludf.DUMMYFUNCTION("IMPORTRANGE(""https://docs.google.com/spreadsheets/d/1IYY_tgx_IHuhSq3AJ5eI5OnqOPBNLWSHKh2a30DoXe8/edit?usp=sharing"",""พังงา!I125"")"),20000)</f>
        <v>20000</v>
      </c>
      <c r="J200" s="195">
        <f ca="1">IFERROR(__xludf.DUMMYFUNCTION("IMPORTRANGE(""https://docs.google.com/spreadsheets/d/1IYY_tgx_IHuhSq3AJ5eI5OnqOPBNLWSHKh2a30DoXe8/edit?usp=sharing"",""พังงา!J125"")"),0)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IFERROR(__xludf.DUMMYFUNCTION("IMPORTRANGE(""https://docs.google.com/spreadsheets/d/1IYY_tgx_IHuhSq3AJ5eI5OnqOPBNLWSHKh2a30DoXe8/edit?usp=sharing"",""พังงา!I126"")"),0)</f>
        <v>0</v>
      </c>
      <c r="J201" s="195">
        <f ca="1">IFERROR(__xludf.DUMMYFUNCTION("IMPORTRANGE(""https://docs.google.com/spreadsheets/d/1IYY_tgx_IHuhSq3AJ5eI5OnqOPBNLWSHKh2a30DoXe8/edit?usp=sharing"",""พังงา!J126"")"),0)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IFERROR(__xludf.DUMMYFUNCTION("IMPORTRANGE(""https://docs.google.com/spreadsheets/d/1IYY_tgx_IHuhSq3AJ5eI5OnqOPBNLWSHKh2a30DoXe8/edit?usp=sharing"",""พังงา!J127"")"),0)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IFERROR(__xludf.DUMMYFUNCTION("IMPORTRANGE(""https://docs.google.com/spreadsheets/d/1IYY_tgx_IHuhSq3AJ5eI5OnqOPBNLWSHKh2a30DoXe8/edit?usp=sharing"",""พังงา!J128"")"),0)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IFERROR(__xludf.DUMMYFUNCTION("IMPORTRANGE(""https://docs.google.com/spreadsheets/d/1IYY_tgx_IHuhSq3AJ5eI5OnqOPBNLWSHKh2a30DoXe8/edit?usp=sharing"",""พังงา!J134"")"),0)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IFERROR(__xludf.DUMMYFUNCTION("IMPORTRANGE(""https://docs.google.com/spreadsheets/d/1IYY_tgx_IHuhSq3AJ5eI5OnqOPBNLWSHKh2a30DoXe8/edit?usp=sharing"",""พังงา!J135"")"),0)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IFERROR(__xludf.DUMMYFUNCTION("IMPORTRANGE(""https://docs.google.com/spreadsheets/d/1IYY_tgx_IHuhSq3AJ5eI5OnqOPBNLWSHKh2a30DoXe8/edit?usp=sharing"",""พังงา!J136"")"),0)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IFERROR(__xludf.DUMMYFUNCTION("IMPORTRANGE(""https://docs.google.com/spreadsheets/d/1IYY_tgx_IHuhSq3AJ5eI5OnqOPBNLWSHKh2a30DoXe8/edit?usp=sharing"",""พังงา!J137"")"),0)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IFERROR(__xludf.DUMMYFUNCTION("IMPORTRANGE(""https://docs.google.com/spreadsheets/d/1IYY_tgx_IHuhSq3AJ5eI5OnqOPBNLWSHKh2a30DoXe8/edit?usp=sharing"",""พังงา!I138"")"),0)</f>
        <v>0</v>
      </c>
      <c r="J213" s="210">
        <f ca="1">IFERROR(__xludf.DUMMYFUNCTION("IMPORTRANGE(""https://docs.google.com/spreadsheets/d/1IYY_tgx_IHuhSq3AJ5eI5OnqOPBNLWSHKh2a30DoXe8/edit?usp=sharing"",""พังงา!J138"")"),0)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IFERROR(__xludf.DUMMYFUNCTION("IMPORTRANGE(""https://docs.google.com/spreadsheets/d/1IYY_tgx_IHuhSq3AJ5eI5OnqOPBNLWSHKh2a30DoXe8/edit?usp=sharing"",""พังงา!I140"")"),0)</f>
        <v>0</v>
      </c>
      <c r="J215" s="210">
        <f ca="1">IFERROR(__xludf.DUMMYFUNCTION("IMPORTRANGE(""https://docs.google.com/spreadsheets/d/1IYY_tgx_IHuhSq3AJ5eI5OnqOPBNLWSHKh2a30DoXe8/edit?usp=sharing"",""พังงา!J140"")"),0)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IFERROR(__xludf.DUMMYFUNCTION("IMPORTRANGE(""https://docs.google.com/spreadsheets/d/1IYY_tgx_IHuhSq3AJ5eI5OnqOPBNLWSHKh2a30DoXe8/edit?usp=sharing"",""พังงา!I141"")"),0)</f>
        <v>0</v>
      </c>
      <c r="J216" s="210">
        <f ca="1">IFERROR(__xludf.DUMMYFUNCTION("IMPORTRANGE(""https://docs.google.com/spreadsheets/d/1IYY_tgx_IHuhSq3AJ5eI5OnqOPBNLWSHKh2a30DoXe8/edit?usp=sharing"",""พังงา!J141"")"),0)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IFERROR(__xludf.DUMMYFUNCTION("IMPORTRANGE(""https://docs.google.com/spreadsheets/d/1IYY_tgx_IHuhSq3AJ5eI5OnqOPBNLWSHKh2a30DoXe8/edit?usp=sharing"",""พังงา!J142"")"),0)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IFERROR(__xludf.DUMMYFUNCTION("IMPORTRANGE(""https://docs.google.com/spreadsheets/d/1IYY_tgx_IHuhSq3AJ5eI5OnqOPBNLWSHKh2a30DoXe8/edit?usp=sharing"",""พังงา!J143"")"),0)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IFERROR(__xludf.DUMMYFUNCTION("IMPORTRANGE(""https://docs.google.com/spreadsheets/d/1IYY_tgx_IHuhSq3AJ5eI5OnqOPBNLWSHKh2a30DoXe8/edit?usp=sharing"",""พังงา!I144"")"),15)</f>
        <v>15</v>
      </c>
      <c r="J219" s="273">
        <f ca="1">IFERROR(__xludf.DUMMYFUNCTION("IMPORTRANGE(""https://docs.google.com/spreadsheets/d/1IYY_tgx_IHuhSq3AJ5eI5OnqOPBNLWSHKh2a30DoXe8/edit?usp=sharing"",""พังงา!J144"")"),15)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IFERROR(__xludf.DUMMYFUNCTION("IMPORTRANGE(""https://docs.google.com/spreadsheets/d/1Yj_ptqi66GCucihVvJfMjLAmec39IyEx_6qawtMGysU/edit?usp=sharing"",""สบก!BS87"")"),21125)</f>
        <v>21125</v>
      </c>
      <c r="N224" s="174">
        <f ca="1">IFERROR(__xludf.DUMMYFUNCTION("IMPORTRANGE(""https://docs.google.com/spreadsheets/d/1Yj_ptqi66GCucihVvJfMjLAmec39IyEx_6qawtMGysU/edit?usp=sharing"",""สบก!BT87"")"),21125)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IFERROR(__xludf.DUMMYFUNCTION("IMPORTRANGE(""https://docs.google.com/spreadsheets/d/1Yj_ptqi66GCucihVvJfMjLAmec39IyEx_6qawtMGysU/edit?usp=sharing"",""สบก!BO87"")"),0)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IFERROR(__xludf.DUMMYFUNCTION("IMPORTRANGE(""https://docs.google.com/spreadsheets/d/1Yj_ptqi66GCucihVvJfMjLAmec39IyEx_6qawtMGysU/edit?usp=sharing"",""สบก!BP87"")"),21125)</f>
        <v>21125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IFERROR(__xludf.DUMMYFUNCTION("IMPORTRANGE(""https://docs.google.com/spreadsheets/d/1IYY_tgx_IHuhSq3AJ5eI5OnqOPBNLWSHKh2a30DoXe8/edit?usp=sharing"",""พังงา!I149"")"),15)</f>
        <v>15</v>
      </c>
      <c r="J229" s="273">
        <f ca="1">IFERROR(__xludf.DUMMYFUNCTION("IMPORTRANGE(""https://docs.google.com/spreadsheets/d/1IYY_tgx_IHuhSq3AJ5eI5OnqOPBNLWSHKh2a30DoXe8/edit?usp=sharing"",""พังงา!J149"")"),15)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IFERROR(__xludf.DUMMYFUNCTION("IMPORTRANGE(""https://docs.google.com/spreadsheets/d/1IYY_tgx_IHuhSq3AJ5eI5OnqOPBNLWSHKh2a30DoXe8/edit?usp=sharing"",""พังงา!J151"")"),0)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IFERROR(__xludf.DUMMYFUNCTION("IMPORTRANGE(""https://docs.google.com/spreadsheets/d/1IYY_tgx_IHuhSq3AJ5eI5OnqOPBNLWSHKh2a30DoXe8/edit?usp=sharing"",""พังงา!J152"")"),1)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IFERROR(__xludf.DUMMYFUNCTION("IMPORTRANGE(""https://docs.google.com/spreadsheets/d/1IYY_tgx_IHuhSq3AJ5eI5OnqOPBNLWSHKh2a30DoXe8/edit?usp=sharing"",""พังงา!J153"")"),1)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IFERROR(__xludf.DUMMYFUNCTION("IMPORTRANGE(""https://docs.google.com/spreadsheets/d/1IYY_tgx_IHuhSq3AJ5eI5OnqOPBNLWSHKh2a30DoXe8/edit?usp=sharing"",""พังงา!J154"")"),1)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IFERROR(__xludf.DUMMYFUNCTION("IMPORTRANGE(""https://docs.google.com/spreadsheets/d/1IYY_tgx_IHuhSq3AJ5eI5OnqOPBNLWSHKh2a30DoXe8/edit?usp=sharing"",""พังงา!I155"")"),15)</f>
        <v>15</v>
      </c>
      <c r="J235" s="195">
        <f ca="1">IFERROR(__xludf.DUMMYFUNCTION("IMPORTRANGE(""https://docs.google.com/spreadsheets/d/1IYY_tgx_IHuhSq3AJ5eI5OnqOPBNLWSHKh2a30DoXe8/edit?usp=sharing"",""พังงา!J155"")"),15)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IFERROR(__xludf.DUMMYFUNCTION("IMPORTRANGE(""https://docs.google.com/spreadsheets/d/1IYY_tgx_IHuhSq3AJ5eI5OnqOPBNLWSHKh2a30DoXe8/edit?usp=sharing"",""พังงา!J156"")"),0)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IFERROR(__xludf.DUMMYFUNCTION("IMPORTRANGE(""https://docs.google.com/spreadsheets/d/1IYY_tgx_IHuhSq3AJ5eI5OnqOPBNLWSHKh2a30DoXe8/edit?usp=sharing"",""พังงา!J157"")"),0)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IFERROR(__xludf.DUMMYFUNCTION("IMPORTRANGE(""https://docs.google.com/spreadsheets/d/1IYY_tgx_IHuhSq3AJ5eI5OnqOPBNLWSHKh2a30DoXe8/edit?usp=sharing"",""พังงา!I158"")"),0)</f>
        <v>0</v>
      </c>
      <c r="J238" s="273">
        <f ca="1">IFERROR(__xludf.DUMMYFUNCTION("IMPORTRANGE(""https://docs.google.com/spreadsheets/d/1IYY_tgx_IHuhSq3AJ5eI5OnqOPBNLWSHKh2a30DoXe8/edit?usp=sharing"",""พังงา!J158"")"),0)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IFERROR(__xludf.DUMMYFUNCTION("IMPORTRANGE(""https://docs.google.com/spreadsheets/d/1IYY_tgx_IHuhSq3AJ5eI5OnqOPBNLWSHKh2a30DoXe8/edit?usp=sharing"",""พังงา!J159"")"),"")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IFERROR(__xludf.DUMMYFUNCTION("IMPORTRANGE(""https://docs.google.com/spreadsheets/d/1IYY_tgx_IHuhSq3AJ5eI5OnqOPBNLWSHKh2a30DoXe8/edit?usp=sharing"",""พังงา!J161"")"),0)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IFERROR(__xludf.DUMMYFUNCTION("IMPORTRANGE(""https://docs.google.com/spreadsheets/d/1IYY_tgx_IHuhSq3AJ5eI5OnqOPBNLWSHKh2a30DoXe8/edit?usp=sharing"",""พังงา!J162"")"),0)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IFERROR(__xludf.DUMMYFUNCTION("IMPORTRANGE(""https://docs.google.com/spreadsheets/d/1IYY_tgx_IHuhSq3AJ5eI5OnqOPBNLWSHKh2a30DoXe8/edit?usp=sharing"",""พังงา!J163"")"),0)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IFERROR(__xludf.DUMMYFUNCTION("IMPORTRANGE(""https://docs.google.com/spreadsheets/d/1IYY_tgx_IHuhSq3AJ5eI5OnqOPBNLWSHKh2a30DoXe8/edit?usp=sharing"",""พังงา!I164"")"),0)</f>
        <v>0</v>
      </c>
      <c r="J244" s="194">
        <f ca="1">IFERROR(__xludf.DUMMYFUNCTION("IMPORTRANGE(""https://docs.google.com/spreadsheets/d/1IYY_tgx_IHuhSq3AJ5eI5OnqOPBNLWSHKh2a30DoXe8/edit?usp=sharing"",""พังงา!J164"")"),0)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IFERROR(__xludf.DUMMYFUNCTION("IMPORTRANGE(""https://docs.google.com/spreadsheets/d/1IYY_tgx_IHuhSq3AJ5eI5OnqOPBNLWSHKh2a30DoXe8/edit?usp=sharing"",""พังงา!J165"")"),0)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IFERROR(__xludf.DUMMYFUNCTION("IMPORTRANGE(""https://docs.google.com/spreadsheets/d/1Yj_ptqi66GCucihVvJfMjLAmec39IyEx_6qawtMGysU/edit?usp=sharing"",""สบก!CB87"")"),0)</f>
        <v>0</v>
      </c>
      <c r="N254" s="174">
        <f ca="1">IFERROR(__xludf.DUMMYFUNCTION("IMPORTRANGE(""https://docs.google.com/spreadsheets/d/1Yj_ptqi66GCucihVvJfMjLAmec39IyEx_6qawtMGysU/edit?usp=sharing"",""สบก!CC87"")"),0)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IFERROR(__xludf.DUMMYFUNCTION("IMPORTRANGE(""https://docs.google.com/spreadsheets/d/1Yj_ptqi66GCucihVvJfMjLAmec39IyEx_6qawtMGysU/edit?usp=sharing"",""สบก!BX87"")"),0)</f>
        <v>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IFERROR(__xludf.DUMMYFUNCTION("IMPORTRANGE(""https://docs.google.com/spreadsheets/d/1Yj_ptqi66GCucihVvJfMjLAmec39IyEx_6qawtMGysU/edit?usp=sharing"",""สบก!BY87"")"),0)</f>
        <v>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IFERROR(__xludf.DUMMYFUNCTION("IMPORTRANGE(""https://docs.google.com/spreadsheets/d/1IYY_tgx_IHuhSq3AJ5eI5OnqOPBNLWSHKh2a30DoXe8/edit?usp=sharing"",""พังงา!J175"")"),0)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IFERROR(__xludf.DUMMYFUNCTION("IMPORTRANGE(""https://docs.google.com/spreadsheets/d/1IYY_tgx_IHuhSq3AJ5eI5OnqOPBNLWSHKh2a30DoXe8/edit?usp=sharing"",""พังงา!J176"")"),0)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IFERROR(__xludf.DUMMYFUNCTION("IMPORTRANGE(""https://docs.google.com/spreadsheets/d/1IYY_tgx_IHuhSq3AJ5eI5OnqOPBNLWSHKh2a30DoXe8/edit?usp=sharing"",""พังงา!J177"")"),0)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IFERROR(__xludf.DUMMYFUNCTION("IMPORTRANGE(""https://docs.google.com/spreadsheets/d/1IYY_tgx_IHuhSq3AJ5eI5OnqOPBNLWSHKh2a30DoXe8/edit?usp=sharing"",""พังงา!J178"")"),0)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IFERROR(__xludf.DUMMYFUNCTION("IMPORTRANGE(""https://docs.google.com/spreadsheets/d/1IYY_tgx_IHuhSq3AJ5eI5OnqOPBNLWSHKh2a30DoXe8/edit?usp=sharing"",""พังงา!I179"")"),0)</f>
        <v>0</v>
      </c>
      <c r="J264" s="195">
        <f ca="1">IFERROR(__xludf.DUMMYFUNCTION("IMPORTRANGE(""https://docs.google.com/spreadsheets/d/1IYY_tgx_IHuhSq3AJ5eI5OnqOPBNLWSHKh2a30DoXe8/edit?usp=sharing"",""พังงา!J179"")"),0)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IFERROR(__xludf.DUMMYFUNCTION("IMPORTRANGE(""https://docs.google.com/spreadsheets/d/1IYY_tgx_IHuhSq3AJ5eI5OnqOPBNLWSHKh2a30DoXe8/edit?usp=sharing"",""พังงา!I180"")"),0)</f>
        <v>0</v>
      </c>
      <c r="J265" s="195">
        <f ca="1">IFERROR(__xludf.DUMMYFUNCTION("IMPORTRANGE(""https://docs.google.com/spreadsheets/d/1IYY_tgx_IHuhSq3AJ5eI5OnqOPBNLWSHKh2a30DoXe8/edit?usp=sharing"",""พังงา!J180"")"),0)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IFERROR(__xludf.DUMMYFUNCTION("IMPORTRANGE(""https://docs.google.com/spreadsheets/d/1IYY_tgx_IHuhSq3AJ5eI5OnqOPBNLWSHKh2a30DoXe8/edit?usp=sharing"",""พังงา!I181"")"),0)</f>
        <v>0</v>
      </c>
      <c r="J266" s="195">
        <f ca="1">IFERROR(__xludf.DUMMYFUNCTION("IMPORTRANGE(""https://docs.google.com/spreadsheets/d/1IYY_tgx_IHuhSq3AJ5eI5OnqOPBNLWSHKh2a30DoXe8/edit?usp=sharing"",""พังงา!J181"")"),0)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IFERROR(__xludf.DUMMYFUNCTION("IMPORTRANGE(""https://docs.google.com/spreadsheets/d/1IYY_tgx_IHuhSq3AJ5eI5OnqOPBNLWSHKh2a30DoXe8/edit?usp=sharing"",""พังงา!I182"")"),0)</f>
        <v>0</v>
      </c>
      <c r="J267" s="195">
        <f ca="1">IFERROR(__xludf.DUMMYFUNCTION("IMPORTRANGE(""https://docs.google.com/spreadsheets/d/1IYY_tgx_IHuhSq3AJ5eI5OnqOPBNLWSHKh2a30DoXe8/edit?usp=sharing"",""พังงา!J182"")"),0)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IFERROR(__xludf.DUMMYFUNCTION("IMPORTRANGE(""https://docs.google.com/spreadsheets/d/1IYY_tgx_IHuhSq3AJ5eI5OnqOPBNLWSHKh2a30DoXe8/edit?usp=sharing"",""พังงา!J183"")"),0)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187200</v>
      </c>
      <c r="N271" s="156">
        <f t="shared" ca="1" si="83"/>
        <v>30480</v>
      </c>
      <c r="O271" s="155">
        <f t="shared" ref="O271:O273" ca="1" si="84">IF(L271&gt;0,N271*100/L271,0)</f>
        <v>16.282051282051281</v>
      </c>
      <c r="P271" s="155">
        <f t="shared" ref="P271:P273" ca="1" si="85">IF(M271&gt;0,N271*100/M271,0)</f>
        <v>16.282051282051281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187200</v>
      </c>
      <c r="N273" s="161">
        <f t="shared" ca="1" si="87"/>
        <v>30480</v>
      </c>
      <c r="O273" s="160">
        <f t="shared" ca="1" si="84"/>
        <v>16.282051282051281</v>
      </c>
      <c r="P273" s="160">
        <f t="shared" ca="1" si="85"/>
        <v>16.282051282051281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IFERROR(__xludf.DUMMYFUNCTION("IMPORTRANGE(""https://docs.google.com/spreadsheets/d/1Yj_ptqi66GCucihVvJfMjLAmec39IyEx_6qawtMGysU/edit?usp=sharing"",""สบก!CK87"")"),187200)</f>
        <v>187200</v>
      </c>
      <c r="N275" s="174">
        <f ca="1">IFERROR(__xludf.DUMMYFUNCTION("IMPORTRANGE(""https://docs.google.com/spreadsheets/d/1Yj_ptqi66GCucihVvJfMjLAmec39IyEx_6qawtMGysU/edit?usp=sharing"",""สบก!CL87"")"),30480)</f>
        <v>30480</v>
      </c>
      <c r="O275" s="175">
        <f ca="1">IF(L275&gt;0,N275*100/L275,0)</f>
        <v>16.282051282051281</v>
      </c>
      <c r="P275" s="175">
        <f ca="1">IF(M275&gt;0,N275*100/M275,0)</f>
        <v>16.282051282051281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IFERROR(__xludf.DUMMYFUNCTION("IMPORTRANGE(""https://docs.google.com/spreadsheets/d/1Yj_ptqi66GCucihVvJfMjLAmec39IyEx_6qawtMGysU/edit?usp=sharing"",""สบก!CG87"")"),132000)</f>
        <v>132000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IFERROR(__xludf.DUMMYFUNCTION("IMPORTRANGE(""https://docs.google.com/spreadsheets/d/1Yj_ptqi66GCucihVvJfMjLAmec39IyEx_6qawtMGysU/edit?usp=sharing"",""สบก!CH87"")"),55200)</f>
        <v>55200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IFERROR(__xludf.DUMMYFUNCTION("IMPORTRANGE(""https://docs.google.com/spreadsheets/d/1IYY_tgx_IHuhSq3AJ5eI5OnqOPBNLWSHKh2a30DoXe8/edit?usp=sharing"",""พังงา!J191"")"),0)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IFERROR(__xludf.DUMMYFUNCTION("IMPORTRANGE(""https://docs.google.com/spreadsheets/d/1IYY_tgx_IHuhSq3AJ5eI5OnqOPBNLWSHKh2a30DoXe8/edit?usp=sharing"",""พังงา!J192"")"),1)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IFERROR(__xludf.DUMMYFUNCTION("IMPORTRANGE(""https://docs.google.com/spreadsheets/d/1IYY_tgx_IHuhSq3AJ5eI5OnqOPBNLWSHKh2a30DoXe8/edit?usp=sharing"",""พังงา!J193"")"),1)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IFERROR(__xludf.DUMMYFUNCTION("IMPORTRANGE(""https://docs.google.com/spreadsheets/d/1IYY_tgx_IHuhSq3AJ5eI5OnqOPBNLWSHKh2a30DoXe8/edit?usp=sharing"",""พังงา!J194"")"),1)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IFERROR(__xludf.DUMMYFUNCTION("IMPORTRANGE(""https://docs.google.com/spreadsheets/d/1IYY_tgx_IHuhSq3AJ5eI5OnqOPBNLWSHKh2a30DoXe8/edit?usp=sharing"",""พังงา!I195"")"),15)</f>
        <v>15</v>
      </c>
      <c r="J285" s="195">
        <f ca="1">IFERROR(__xludf.DUMMYFUNCTION("IMPORTRANGE(""https://docs.google.com/spreadsheets/d/1IYY_tgx_IHuhSq3AJ5eI5OnqOPBNLWSHKh2a30DoXe8/edit?usp=sharing"",""พังงา!J195"")"),15)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IFERROR(__xludf.DUMMYFUNCTION("IMPORTRANGE(""https://docs.google.com/spreadsheets/d/1IYY_tgx_IHuhSq3AJ5eI5OnqOPBNLWSHKh2a30DoXe8/edit?usp=sharing"",""พังงา!J196"")"),0)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IFERROR(__xludf.DUMMYFUNCTION("IMPORTRANGE(""https://docs.google.com/spreadsheets/d/1IYY_tgx_IHuhSq3AJ5eI5OnqOPBNLWSHKh2a30DoXe8/edit?usp=sharing"",""พังงา!J197"")"),0)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IFERROR(__xludf.DUMMYFUNCTION("IMPORTRANGE(""https://docs.google.com/spreadsheets/d/1Yj_ptqi66GCucihVvJfMjLAmec39IyEx_6qawtMGysU/edit?usp=sharing"",""สบก!CT87"")"),0)</f>
        <v>0</v>
      </c>
      <c r="N294" s="174">
        <f ca="1">IFERROR(__xludf.DUMMYFUNCTION("IMPORTRANGE(""https://docs.google.com/spreadsheets/d/1Yj_ptqi66GCucihVvJfMjLAmec39IyEx_6qawtMGysU/edit?usp=sharing"",""สบก!CU87"")"),0)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IFERROR(__xludf.DUMMYFUNCTION("IMPORTRANGE(""https://docs.google.com/spreadsheets/d/1Yj_ptqi66GCucihVvJfMjLAmec39IyEx_6qawtMGysU/edit?usp=sharing"",""สบก!CP87"")"),0)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IFERROR(__xludf.DUMMYFUNCTION("IMPORTRANGE(""https://docs.google.com/spreadsheets/d/1Yj_ptqi66GCucihVvJfMjLAmec39IyEx_6qawtMGysU/edit?usp=sharing"",""สบก!CQ87"")"),0)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IFERROR(__xludf.DUMMYFUNCTION("IMPORTRANGE(""https://docs.google.com/spreadsheets/d/1IYY_tgx_IHuhSq3AJ5eI5OnqOPBNLWSHKh2a30DoXe8/edit?usp=sharing"",""พังงา!J205"")"),0)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IFERROR(__xludf.DUMMYFUNCTION("IMPORTRANGE(""https://docs.google.com/spreadsheets/d/1IYY_tgx_IHuhSq3AJ5eI5OnqOPBNLWSHKh2a30DoXe8/edit?usp=sharing"",""พังงา!J206"")"),0)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IFERROR(__xludf.DUMMYFUNCTION("IMPORTRANGE(""https://docs.google.com/spreadsheets/d/1IYY_tgx_IHuhSq3AJ5eI5OnqOPBNLWSHKh2a30DoXe8/edit?usp=sharing"",""พังงา!J207"")"),0)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IFERROR(__xludf.DUMMYFUNCTION("IMPORTRANGE(""https://docs.google.com/spreadsheets/d/1IYY_tgx_IHuhSq3AJ5eI5OnqOPBNLWSHKh2a30DoXe8/edit?usp=sharing"",""พังงา!J208"")"),0)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IFERROR(__xludf.DUMMYFUNCTION("IMPORTRANGE(""https://docs.google.com/spreadsheets/d/1IYY_tgx_IHuhSq3AJ5eI5OnqOPBNLWSHKh2a30DoXe8/edit?usp=sharing"",""พังงา!I209"")"),0)</f>
        <v>0</v>
      </c>
      <c r="J304" s="210">
        <f ca="1">IFERROR(__xludf.DUMMYFUNCTION("IMPORTRANGE(""https://docs.google.com/spreadsheets/d/1IYY_tgx_IHuhSq3AJ5eI5OnqOPBNLWSHKh2a30DoXe8/edit?usp=sharing"",""พังงา!J209"")"),0)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IFERROR(__xludf.DUMMYFUNCTION("IMPORTRANGE(""https://docs.google.com/spreadsheets/d/1IYY_tgx_IHuhSq3AJ5eI5OnqOPBNLWSHKh2a30DoXe8/edit?usp=sharing"",""พังงา!I211"")"),0)</f>
        <v>0</v>
      </c>
      <c r="J306" s="210">
        <f ca="1">IFERROR(__xludf.DUMMYFUNCTION("IMPORTRANGE(""https://docs.google.com/spreadsheets/d/1IYY_tgx_IHuhSq3AJ5eI5OnqOPBNLWSHKh2a30DoXe8/edit?usp=sharing"",""พังงา!J211"")"),0)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IFERROR(__xludf.DUMMYFUNCTION("IMPORTRANGE(""https://docs.google.com/spreadsheets/d/1IYY_tgx_IHuhSq3AJ5eI5OnqOPBNLWSHKh2a30DoXe8/edit?usp=sharing"",""พังงา!J212"")"),0)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IFERROR(__xludf.DUMMYFUNCTION("IMPORTRANGE(""https://docs.google.com/spreadsheets/d/1Yj_ptqi66GCucihVvJfMjLAmec39IyEx_6qawtMGysU/edit?usp=sharing"",""สบก!DC87"")"),0)</f>
        <v>0</v>
      </c>
      <c r="N314" s="174">
        <f ca="1">IFERROR(__xludf.DUMMYFUNCTION("IMPORTRANGE(""https://docs.google.com/spreadsheets/d/1Yj_ptqi66GCucihVvJfMjLAmec39IyEx_6qawtMGysU/edit?usp=sharing"",""สบก!DD87"")"),0)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IFERROR(__xludf.DUMMYFUNCTION("IMPORTRANGE(""https://docs.google.com/spreadsheets/d/1Yj_ptqi66GCucihVvJfMjLAmec39IyEx_6qawtMGysU/edit?usp=sharing"",""สบก!CY87"")"),0)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IFERROR(__xludf.DUMMYFUNCTION("IMPORTRANGE(""https://docs.google.com/spreadsheets/d/1Yj_ptqi66GCucihVvJfMjLAmec39IyEx_6qawtMGysU/edit?usp=sharing"",""สบก!CZ87"")"),0)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IFERROR(__xludf.DUMMYFUNCTION("IMPORTRANGE(""https://docs.google.com/spreadsheets/d/1IYY_tgx_IHuhSq3AJ5eI5OnqOPBNLWSHKh2a30DoXe8/edit?usp=sharing"",""พังงา!J220"")"),0)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IFERROR(__xludf.DUMMYFUNCTION("IMPORTRANGE(""https://docs.google.com/spreadsheets/d/1IYY_tgx_IHuhSq3AJ5eI5OnqOPBNLWSHKh2a30DoXe8/edit?usp=sharing"",""พังงา!J221"")"),0)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IFERROR(__xludf.DUMMYFUNCTION("IMPORTRANGE(""https://docs.google.com/spreadsheets/d/1IYY_tgx_IHuhSq3AJ5eI5OnqOPBNLWSHKh2a30DoXe8/edit?usp=sharing"",""พังงา!J222"")"),0)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IFERROR(__xludf.DUMMYFUNCTION("IMPORTRANGE(""https://docs.google.com/spreadsheets/d/1IYY_tgx_IHuhSq3AJ5eI5OnqOPBNLWSHKh2a30DoXe8/edit?usp=sharing"",""พังงา!J223"")"),0)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IFERROR(__xludf.DUMMYFUNCTION("IMPORTRANGE(""https://docs.google.com/spreadsheets/d/1IYY_tgx_IHuhSq3AJ5eI5OnqOPBNLWSHKh2a30DoXe8/edit?usp=sharing"",""พังงา!I224"")"),0)</f>
        <v>0</v>
      </c>
      <c r="J324" s="210">
        <f ca="1">IFERROR(__xludf.DUMMYFUNCTION("IMPORTRANGE(""https://docs.google.com/spreadsheets/d/1IYY_tgx_IHuhSq3AJ5eI5OnqOPBNLWSHKh2a30DoXe8/edit?usp=sharing"",""พังงา!J224"")"),0)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IFERROR(__xludf.DUMMYFUNCTION("IMPORTRANGE(""https://docs.google.com/spreadsheets/d/1IYY_tgx_IHuhSq3AJ5eI5OnqOPBNLWSHKh2a30DoXe8/edit?usp=sharing"",""พังงา!J225"")"),0)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IFERROR(__xludf.DUMMYFUNCTION("IMPORTRANGE(""https://docs.google.com/spreadsheets/d/1IYY_tgx_IHuhSq3AJ5eI5OnqOPBNLWSHKh2a30DoXe8/edit?usp=sharing"",""พังงา!J226"")"),0)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IFERROR(__xludf.DUMMYFUNCTION("IMPORTRANGE(""https://docs.google.com/spreadsheets/d/1IYY_tgx_IHuhSq3AJ5eI5OnqOPBNLWSHKh2a30DoXe8/edit?usp=sharing"",""พังงา!J228"")"),26)</f>
        <v>26</v>
      </c>
      <c r="K328" s="323">
        <f ca="1">IF(I328&gt;0,J328*100/I328,0)</f>
        <v>23.636363636363637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8">L330+L331</f>
        <v>917210</v>
      </c>
      <c r="M329" s="156">
        <f t="shared" ca="1" si="98"/>
        <v>937860</v>
      </c>
      <c r="N329" s="156">
        <f t="shared" ca="1" si="98"/>
        <v>518960.25</v>
      </c>
      <c r="O329" s="155">
        <f t="shared" ref="O329:O331" ca="1" si="99">IF(L329&gt;0,N329*100/L329,0)</f>
        <v>56.580308762442627</v>
      </c>
      <c r="P329" s="155">
        <f t="shared" ref="P329:P331" ca="1" si="100">IF(M329&gt;0,N329*100/M329,0)</f>
        <v>55.334511547565732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917210</v>
      </c>
      <c r="M331" s="161">
        <f t="shared" ca="1" si="102"/>
        <v>937860</v>
      </c>
      <c r="N331" s="161">
        <f t="shared" ca="1" si="102"/>
        <v>518960.25</v>
      </c>
      <c r="O331" s="160">
        <f t="shared" ca="1" si="99"/>
        <v>56.580308762442627</v>
      </c>
      <c r="P331" s="160">
        <f t="shared" ca="1" si="100"/>
        <v>55.334511547565732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743010</v>
      </c>
      <c r="M333" s="173">
        <f ca="1">IFERROR(__xludf.DUMMYFUNCTION("IMPORTRANGE(""https://docs.google.com/spreadsheets/d/1Yj_ptqi66GCucihVvJfMjLAmec39IyEx_6qawtMGysU/edit?usp=sharing"",""สบก!DL87"")"),763660)</f>
        <v>763660</v>
      </c>
      <c r="N333" s="174">
        <f ca="1">IFERROR(__xludf.DUMMYFUNCTION("IMPORTRANGE(""https://docs.google.com/spreadsheets/d/1Yj_ptqi66GCucihVvJfMjLAmec39IyEx_6qawtMGysU/edit?usp=sharing"",""สบก!DM87"")"),344760.25)</f>
        <v>344760.25</v>
      </c>
      <c r="O333" s="175">
        <f ca="1">IF(L333&gt;0,N333*100/L333,0)</f>
        <v>46.400485861563098</v>
      </c>
      <c r="P333" s="175">
        <f ca="1">IF(M333&gt;0,N333*100/M333,0)</f>
        <v>45.145778225912053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IFERROR(__xludf.DUMMYFUNCTION("IMPORTRANGE(""https://docs.google.com/spreadsheets/d/1Yj_ptqi66GCucihVvJfMjLAmec39IyEx_6qawtMGysU/edit?usp=sharing"",""สบก!DH87"")"),492000)</f>
        <v>492000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IFERROR(__xludf.DUMMYFUNCTION("IMPORTRANGE(""https://docs.google.com/spreadsheets/d/1Yj_ptqi66GCucihVvJfMjLAmec39IyEx_6qawtMGysU/edit?usp=sharing"",""สบก!DI87"")"),251010)</f>
        <v>251010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IFERROR(__xludf.DUMMYFUNCTION("IMPORTRANGE(""https://docs.google.com/spreadsheets/d/1IYY_tgx_IHuhSq3AJ5eI5OnqOPBNLWSHKh2a30DoXe8/edit?usp=sharing"",""พังงา!I234"")"),0)</f>
        <v>0</v>
      </c>
      <c r="J339" s="194">
        <f ca="1">IFERROR(__xludf.DUMMYFUNCTION("IMPORTRANGE(""https://docs.google.com/spreadsheets/d/1IYY_tgx_IHuhSq3AJ5eI5OnqOPBNLWSHKh2a30DoXe8/edit?usp=sharing"",""พังงา!J234"")"),76)</f>
        <v>76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IFERROR(__xludf.DUMMYFUNCTION("IMPORTRANGE(""https://docs.google.com/spreadsheets/d/1IYY_tgx_IHuhSq3AJ5eI5OnqOPBNLWSHKh2a30DoXe8/edit?usp=sharing"",""พังงา!I235"")"),665)</f>
        <v>665</v>
      </c>
      <c r="J340" s="194">
        <f ca="1">IFERROR(__xludf.DUMMYFUNCTION("IMPORTRANGE(""https://docs.google.com/spreadsheets/d/1IYY_tgx_IHuhSq3AJ5eI5OnqOPBNLWSHKh2a30DoXe8/edit?usp=sharing"",""พังงา!J235"")"),588.48)</f>
        <v>588.48</v>
      </c>
      <c r="K340" s="348">
        <f t="shared" ca="1" si="103"/>
        <v>88.493233082706766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IFERROR(__xludf.DUMMYFUNCTION("IMPORTRANGE(""https://docs.google.com/spreadsheets/d/1IYY_tgx_IHuhSq3AJ5eI5OnqOPBNLWSHKh2a30DoXe8/edit?usp=sharing"",""พังงา!I236"")"),110)</f>
        <v>110</v>
      </c>
      <c r="J341" s="194">
        <f ca="1">IFERROR(__xludf.DUMMYFUNCTION("IMPORTRANGE(""https://docs.google.com/spreadsheets/d/1IYY_tgx_IHuhSq3AJ5eI5OnqOPBNLWSHKh2a30DoXe8/edit?usp=sharing"",""พังงา!J236"")"),94)</f>
        <v>94</v>
      </c>
      <c r="K341" s="348">
        <f t="shared" ca="1" si="103"/>
        <v>85.454545454545453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4">
        <f ca="1">IFERROR(__xludf.DUMMYFUNCTION("IMPORTRANGE(""https://docs.google.com/spreadsheets/d/1IYY_tgx_IHuhSq3AJ5eI5OnqOPBNLWSHKh2a30DoXe8/edit?usp=sharing"",""พังงา!J237"")"),779.17)</f>
        <v>779.17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IFERROR(__xludf.DUMMYFUNCTION("IMPORTRANGE(""https://docs.google.com/spreadsheets/d/1IYY_tgx_IHuhSq3AJ5eI5OnqOPBNLWSHKh2a30DoXe8/edit?usp=sharing"",""พังงา!I238"")"),110)</f>
        <v>110</v>
      </c>
      <c r="J343" s="194">
        <f ca="1">IFERROR(__xludf.DUMMYFUNCTION("IMPORTRANGE(""https://docs.google.com/spreadsheets/d/1IYY_tgx_IHuhSq3AJ5eI5OnqOPBNLWSHKh2a30DoXe8/edit?usp=sharing"",""พังงา!J238"")"),0)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4">
        <f ca="1">IFERROR(__xludf.DUMMYFUNCTION("IMPORTRANGE(""https://docs.google.com/spreadsheets/d/1IYY_tgx_IHuhSq3AJ5eI5OnqOPBNLWSHKh2a30DoXe8/edit?usp=sharing"",""พังงา!J239"")"),0)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IFERROR(__xludf.DUMMYFUNCTION("IMPORTRANGE(""https://docs.google.com/spreadsheets/d/1IYY_tgx_IHuhSq3AJ5eI5OnqOPBNLWSHKh2a30DoXe8/edit?usp=sharing"",""พังงา!I240"")"),110)</f>
        <v>110</v>
      </c>
      <c r="J345" s="194">
        <f ca="1">IFERROR(__xludf.DUMMYFUNCTION("IMPORTRANGE(""https://docs.google.com/spreadsheets/d/1IYY_tgx_IHuhSq3AJ5eI5OnqOPBNLWSHKh2a30DoXe8/edit?usp=sharing"",""พังงา!J240"")"),26)</f>
        <v>26</v>
      </c>
      <c r="K345" s="348">
        <f t="shared" ca="1" si="103"/>
        <v>23.636363636363637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4">
        <f ca="1">IFERROR(__xludf.DUMMYFUNCTION("IMPORTRANGE(""https://docs.google.com/spreadsheets/d/1IYY_tgx_IHuhSq3AJ5eI5OnqOPBNLWSHKh2a30DoXe8/edit?usp=sharing"",""พังงา!J241"")"),215.44)</f>
        <v>215.44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IFERROR(__xludf.DUMMYFUNCTION("IMPORTRANGE(""https://docs.google.com/spreadsheets/d/1IYY_tgx_IHuhSq3AJ5eI5OnqOPBNLWSHKh2a30DoXe8/edit?usp=sharing"",""พังงา!L242"")"),1070572)</f>
        <v>1070572</v>
      </c>
      <c r="M347" s="364"/>
      <c r="N347" s="364">
        <f ca="1">IFERROR(__xludf.DUMMYFUNCTION("IMPORTRANGE(""https://docs.google.com/spreadsheets/d/1IYY_tgx_IHuhSq3AJ5eI5OnqOPBNLWSHKh2a30DoXe8/edit?usp=sharing"",""พังงา!M242"")"),711049)</f>
        <v>711049</v>
      </c>
      <c r="O347" s="364">
        <f ca="1">+IF(L347&gt;0,N347*100/L347,0)</f>
        <v>66.417672048213475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IFERROR(__xludf.DUMMYFUNCTION("IMPORTRANGE(""https://docs.google.com/spreadsheets/d/1IYY_tgx_IHuhSq3AJ5eI5OnqOPBNLWSHKh2a30DoXe8/edit?usp=sharing"",""พังงา!J244"")"),30)</f>
        <v>30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IFERROR(__xludf.DUMMYFUNCTION("IMPORTRANGE(""https://docs.google.com/spreadsheets/d/1IYY_tgx_IHuhSq3AJ5eI5OnqOPBNLWSHKh2a30DoXe8/edit?usp=sharing"",""พังงา!L244"")"),72420)</f>
        <v>72420</v>
      </c>
      <c r="M349" s="379"/>
      <c r="N349" s="379">
        <f ca="1">IFERROR(__xludf.DUMMYFUNCTION("IMPORTRANGE(""https://docs.google.com/spreadsheets/d/1IYY_tgx_IHuhSq3AJ5eI5OnqOPBNLWSHKh2a30DoXe8/edit?usp=sharing"",""พังงา!M244"")"),53765)</f>
        <v>53765</v>
      </c>
      <c r="O349" s="379">
        <f ca="1">+IF(L349&gt;0,N349*100/L349,0)</f>
        <v>74.240541286937315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IFERROR(__xludf.DUMMYFUNCTION("IMPORTRANGE(""https://docs.google.com/spreadsheets/d/1IYY_tgx_IHuhSq3AJ5eI5OnqOPBNLWSHKh2a30DoXe8/edit?usp=sharing"",""พังงา!J245"")"),15)</f>
        <v>15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IFERROR(__xludf.DUMMYFUNCTION("IMPORTRANGE(""https://docs.google.com/spreadsheets/d/1IYY_tgx_IHuhSq3AJ5eI5OnqOPBNLWSHKh2a30DoXe8/edit?usp=sharing"",""พังงา!L246"")"),0)</f>
        <v>0</v>
      </c>
      <c r="M351" s="168"/>
      <c r="N351" s="168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IFERROR(__xludf.DUMMYFUNCTION("IMPORTRANGE(""https://docs.google.com/spreadsheets/d/1IYY_tgx_IHuhSq3AJ5eI5OnqOPBNLWSHKh2a30DoXe8/edit?usp=sharing"",""พังงา!L247"")"),72420)</f>
        <v>72420</v>
      </c>
      <c r="M352" s="169"/>
      <c r="N352" s="168">
        <f ca="1">IFERROR(__xludf.DUMMYFUNCTION("IMPORTRANGE(""https://docs.google.com/spreadsheets/d/1IYY_tgx_IHuhSq3AJ5eI5OnqOPBNLWSHKh2a30DoXe8/edit?usp=sharing"",""พังงา!M247"")"),53765)</f>
        <v>53765</v>
      </c>
      <c r="O352" s="169">
        <f t="shared" ca="1" si="105"/>
        <v>74.240541286937315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IFERROR(__xludf.DUMMYFUNCTION("IMPORTRANGE(""https://docs.google.com/spreadsheets/d/1IYY_tgx_IHuhSq3AJ5eI5OnqOPBNLWSHKh2a30DoXe8/edit?usp=sharing"",""พังงา!L248"")"),0)</f>
        <v>0</v>
      </c>
      <c r="M353" s="175"/>
      <c r="N353" s="175">
        <f ca="1">IFERROR(__xludf.DUMMYFUNCTION("IMPORTRANGE(""https://docs.google.com/spreadsheets/d/1IYY_tgx_IHuhSq3AJ5eI5OnqOPBNLWSHKh2a30DoXe8/edit?usp=sharing"",""พังงา!M248"")"),0)</f>
        <v>0</v>
      </c>
      <c r="O353" s="175">
        <f t="shared" ca="1" si="105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IFERROR(__xludf.DUMMYFUNCTION("IMPORTRANGE(""https://docs.google.com/spreadsheets/d/1IYY_tgx_IHuhSq3AJ5eI5OnqOPBNLWSHKh2a30DoXe8/edit?usp=sharing"",""พังงา!L249"")"),72420)</f>
        <v>72420</v>
      </c>
      <c r="M354" s="175"/>
      <c r="N354" s="172">
        <f ca="1">IFERROR(__xludf.DUMMYFUNCTION("IMPORTRANGE(""https://docs.google.com/spreadsheets/d/1IYY_tgx_IHuhSq3AJ5eI5OnqOPBNLWSHKh2a30DoXe8/edit?usp=sharing"",""พังงา!M249"")"),53765)</f>
        <v>53765</v>
      </c>
      <c r="O354" s="175">
        <f t="shared" ca="1" si="105"/>
        <v>74.240541286937315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IFERROR(__xludf.DUMMYFUNCTION("IMPORTRANGE(""https://docs.google.com/spreadsheets/d/1IYY_tgx_IHuhSq3AJ5eI5OnqOPBNLWSHKh2a30DoXe8/edit?usp=sharing"",""พังงา!M250"")"),13920)</f>
        <v>13920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IFERROR(__xludf.DUMMYFUNCTION("IMPORTRANGE(""https://docs.google.com/spreadsheets/d/1IYY_tgx_IHuhSq3AJ5eI5OnqOPBNLWSHKh2a30DoXe8/edit?usp=sharing"",""พังงา!M251"")"),32000)</f>
        <v>32000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IFERROR(__xludf.DUMMYFUNCTION("IMPORTRANGE(""https://docs.google.com/spreadsheets/d/1IYY_tgx_IHuhSq3AJ5eI5OnqOPBNLWSHKh2a30DoXe8/edit?usp=sharing"",""พังงา!M253"")"),7845)</f>
        <v>7845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IFERROR(__xludf.DUMMYFUNCTION("IMPORTRANGE(""https://docs.google.com/spreadsheets/d/1IYY_tgx_IHuhSq3AJ5eI5OnqOPBNLWSHKh2a30DoXe8/edit?usp=sharing"",""พังงา!J255"")"),0)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IFERROR(__xludf.DUMMYFUNCTION("IMPORTRANGE(""https://docs.google.com/spreadsheets/d/1IYY_tgx_IHuhSq3AJ5eI5OnqOPBNLWSHKh2a30DoXe8/edit?usp=sharing"",""พังงา!J256"")"),1)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IFERROR(__xludf.DUMMYFUNCTION("IMPORTRANGE(""https://docs.google.com/spreadsheets/d/1IYY_tgx_IHuhSq3AJ5eI5OnqOPBNLWSHKh2a30DoXe8/edit?usp=sharing"",""พังงา!J257"")"),1)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IFERROR(__xludf.DUMMYFUNCTION("IMPORTRANGE(""https://docs.google.com/spreadsheets/d/1IYY_tgx_IHuhSq3AJ5eI5OnqOPBNLWSHKh2a30DoXe8/edit?usp=sharing"",""พังงา!J258"")"),1)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IFERROR(__xludf.DUMMYFUNCTION("IMPORTRANGE(""https://docs.google.com/spreadsheets/d/1IYY_tgx_IHuhSq3AJ5eI5OnqOPBNLWSHKh2a30DoXe8/edit?usp=sharing"",""พังงา!J166"")"),0)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IFERROR(__xludf.DUMMYFUNCTION("IMPORTRANGE(""https://docs.google.com/spreadsheets/d/1IYY_tgx_IHuhSq3AJ5eI5OnqOPBNLWSHKh2a30DoXe8/edit?usp=sharing"",""พังงา!J166"")"),0)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IFERROR(__xludf.DUMMYFUNCTION("IMPORTRANGE(""https://docs.google.com/spreadsheets/d/1IYY_tgx_IHuhSq3AJ5eI5OnqOPBNLWSHKh2a30DoXe8/edit?usp=sharing"",""พังงา!J166"")"),0)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IFERROR(__xludf.DUMMYFUNCTION("IMPORTRANGE(""https://docs.google.com/spreadsheets/d/1IYY_tgx_IHuhSq3AJ5eI5OnqOPBNLWSHKh2a30DoXe8/edit?usp=sharing"",""พังงา!J166"")"),0)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IFERROR(__xludf.DUMMYFUNCTION("IMPORTRANGE(""https://docs.google.com/spreadsheets/d/1IYY_tgx_IHuhSq3AJ5eI5OnqOPBNLWSHKh2a30DoXe8/edit?usp=sharing"",""พังงา!I263"")"),15)</f>
        <v>15</v>
      </c>
      <c r="J368" s="194">
        <f ca="1">IFERROR(__xludf.DUMMYFUNCTION("IMPORTRANGE(""https://docs.google.com/spreadsheets/d/1IYY_tgx_IHuhSq3AJ5eI5OnqOPBNLWSHKh2a30DoXe8/edit?usp=sharing"",""พังงา!J263"")"),15)</f>
        <v>15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IFERROR(__xludf.DUMMYFUNCTION("IMPORTRANGE(""https://docs.google.com/spreadsheets/d/1IYY_tgx_IHuhSq3AJ5eI5OnqOPBNLWSHKh2a30DoXe8/edit?usp=sharing"",""พังงา!I164"")"),0)</f>
        <v>0</v>
      </c>
      <c r="J369" s="210">
        <f ca="1">IFERROR(__xludf.DUMMYFUNCTION("IMPORTRANGE(""https://docs.google.com/spreadsheets/d/1IYY_tgx_IHuhSq3AJ5eI5OnqOPBNLWSHKh2a30DoXe8/edit?usp=sharing"",""พังงา!J164"")"),0)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IFERROR(__xludf.DUMMYFUNCTION("IMPORTRANGE(""https://docs.google.com/spreadsheets/d/1IYY_tgx_IHuhSq3AJ5eI5OnqOPBNLWSHKh2a30DoXe8/edit?usp=sharing"",""พังงา!I265"")"),15)</f>
        <v>15</v>
      </c>
      <c r="J370" s="210">
        <f ca="1">IFERROR(__xludf.DUMMYFUNCTION("IMPORTRANGE(""https://docs.google.com/spreadsheets/d/1IYY_tgx_IHuhSq3AJ5eI5OnqOPBNLWSHKh2a30DoXe8/edit?usp=sharing"",""พังงา!J265"")"),15)</f>
        <v>15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IFERROR(__xludf.DUMMYFUNCTION("IMPORTRANGE(""https://docs.google.com/spreadsheets/d/1IYY_tgx_IHuhSq3AJ5eI5OnqOPBNLWSHKh2a30DoXe8/edit?usp=sharing"",""พังงา!I164"")"),0)</f>
        <v>0</v>
      </c>
      <c r="J371" s="195">
        <f ca="1">IFERROR(__xludf.DUMMYFUNCTION("IMPORTRANGE(""https://docs.google.com/spreadsheets/d/1IYY_tgx_IHuhSq3AJ5eI5OnqOPBNLWSHKh2a30DoXe8/edit?usp=sharing"",""พังงา!J164"")"),0)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IFERROR(__xludf.DUMMYFUNCTION("IMPORTRANGE(""https://docs.google.com/spreadsheets/d/1IYY_tgx_IHuhSq3AJ5eI5OnqOPBNLWSHKh2a30DoXe8/edit?usp=sharing"",""พังงา!I267"")"),15)</f>
        <v>15</v>
      </c>
      <c r="J372" s="195">
        <f ca="1">IFERROR(__xludf.DUMMYFUNCTION("IMPORTRANGE(""https://docs.google.com/spreadsheets/d/1IYY_tgx_IHuhSq3AJ5eI5OnqOPBNLWSHKh2a30DoXe8/edit?usp=sharing"",""พังงา!J267"")"),15)</f>
        <v>15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IFERROR(__xludf.DUMMYFUNCTION("IMPORTRANGE(""https://docs.google.com/spreadsheets/d/1IYY_tgx_IHuhSq3AJ5eI5OnqOPBNLWSHKh2a30DoXe8/edit?usp=sharing"",""พังงา!I164"")"),0)</f>
        <v>0</v>
      </c>
      <c r="J373" s="210">
        <f ca="1">IFERROR(__xludf.DUMMYFUNCTION("IMPORTRANGE(""https://docs.google.com/spreadsheets/d/1IYY_tgx_IHuhSq3AJ5eI5OnqOPBNLWSHKh2a30DoXe8/edit?usp=sharing"",""พังงา!J164"")"),0)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IFERROR(__xludf.DUMMYFUNCTION("IMPORTRANGE(""https://docs.google.com/spreadsheets/d/1IYY_tgx_IHuhSq3AJ5eI5OnqOPBNLWSHKh2a30DoXe8/edit?usp=sharing"",""พังงา!I164"")"),0)</f>
        <v>0</v>
      </c>
      <c r="J374" s="194">
        <f ca="1">IFERROR(__xludf.DUMMYFUNCTION("IMPORTRANGE(""https://docs.google.com/spreadsheets/d/1IYY_tgx_IHuhSq3AJ5eI5OnqOPBNLWSHKh2a30DoXe8/edit?usp=sharing"",""พังงา!J164"")"),0)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IFERROR(__xludf.DUMMYFUNCTION("IMPORTRANGE(""https://docs.google.com/spreadsheets/d/1IYY_tgx_IHuhSq3AJ5eI5OnqOPBNLWSHKh2a30DoXe8/edit?usp=sharing"",""พังงา!I270"")"),30)</f>
        <v>30</v>
      </c>
      <c r="J375" s="194">
        <f ca="1">IFERROR(__xludf.DUMMYFUNCTION("IMPORTRANGE(""https://docs.google.com/spreadsheets/d/1IYY_tgx_IHuhSq3AJ5eI5OnqOPBNLWSHKh2a30DoXe8/edit?usp=sharing"",""พังงา!J270"")"),30)</f>
        <v>30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IFERROR(__xludf.DUMMYFUNCTION("IMPORTRANGE(""https://docs.google.com/spreadsheets/d/1IYY_tgx_IHuhSq3AJ5eI5OnqOPBNLWSHKh2a30DoXe8/edit?usp=sharing"",""พังงา!I271"")"),20)</f>
        <v>20</v>
      </c>
      <c r="J376" s="195">
        <f ca="1">IFERROR(__xludf.DUMMYFUNCTION("IMPORTRANGE(""https://docs.google.com/spreadsheets/d/1IYY_tgx_IHuhSq3AJ5eI5OnqOPBNLWSHKh2a30DoXe8/edit?usp=sharing"",""พังงา!J271"")"),20)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IFERROR(__xludf.DUMMYFUNCTION("IMPORTRANGE(""https://docs.google.com/spreadsheets/d/1IYY_tgx_IHuhSq3AJ5eI5OnqOPBNLWSHKh2a30DoXe8/edit?usp=sharing"",""พังงา!I272"")"),10)</f>
        <v>10</v>
      </c>
      <c r="J377" s="210">
        <f ca="1">IFERROR(__xludf.DUMMYFUNCTION("IMPORTRANGE(""https://docs.google.com/spreadsheets/d/1IYY_tgx_IHuhSq3AJ5eI5OnqOPBNLWSHKh2a30DoXe8/edit?usp=sharing"",""พังงา!J272"")"),10)</f>
        <v>10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IFERROR(__xludf.DUMMYFUNCTION("IMPORTRANGE(""https://docs.google.com/spreadsheets/d/1IYY_tgx_IHuhSq3AJ5eI5OnqOPBNLWSHKh2a30DoXe8/edit?usp=sharing"",""พังงา!J273"")"),0)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IFERROR(__xludf.DUMMYFUNCTION("IMPORTRANGE(""https://docs.google.com/spreadsheets/d/1IYY_tgx_IHuhSq3AJ5eI5OnqOPBNLWSHKh2a30DoXe8/edit?usp=sharing"",""พังงา!J274"")"),0)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IFERROR(__xludf.DUMMYFUNCTION("IMPORTRANGE(""https://docs.google.com/spreadsheets/d/1IYY_tgx_IHuhSq3AJ5eI5OnqOPBNLWSHKh2a30DoXe8/edit?usp=sharing"",""พังงา!J275"")"),500)</f>
        <v>500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IFERROR(__xludf.DUMMYFUNCTION("IMPORTRANGE(""https://docs.google.com/spreadsheets/d/1IYY_tgx_IHuhSq3AJ5eI5OnqOPBNLWSHKh2a30DoXe8/edit?usp=sharing"",""พังงา!M275"")"),421500)</f>
        <v>421500</v>
      </c>
      <c r="O380" s="379">
        <f ca="1">+IF(L380&gt;0,N380*100/L380,0)</f>
        <v>91.602555743904034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IFERROR(__xludf.DUMMYFUNCTION("IMPORTRANGE(""https://docs.google.com/spreadsheets/d/1IYY_tgx_IHuhSq3AJ5eI5OnqOPBNLWSHKh2a30DoXe8/edit?usp=sharing"",""พังงา!L277"")"),0)</f>
        <v>0</v>
      </c>
      <c r="M382" s="168"/>
      <c r="N382" s="168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IFERROR(__xludf.DUMMYFUNCTION("IMPORTRANGE(""https://docs.google.com/spreadsheets/d/1IYY_tgx_IHuhSq3AJ5eI5OnqOPBNLWSHKh2a30DoXe8/edit?usp=sharing"",""พังงา!M278"")"),421500)</f>
        <v>421500</v>
      </c>
      <c r="O383" s="169">
        <f t="shared" ca="1" si="109"/>
        <v>91.602555743904034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IFERROR(__xludf.DUMMYFUNCTION("IMPORTRANGE(""https://docs.google.com/spreadsheets/d/1IYY_tgx_IHuhSq3AJ5eI5OnqOPBNLWSHKh2a30DoXe8/edit?usp=sharing"",""พังงา!L279"")"),0)</f>
        <v>0</v>
      </c>
      <c r="M384" s="175"/>
      <c r="N384" s="175">
        <f ca="1">IFERROR(__xludf.DUMMYFUNCTION("IMPORTRANGE(""https://docs.google.com/spreadsheets/d/1IYY_tgx_IHuhSq3AJ5eI5OnqOPBNLWSHKh2a30DoXe8/edit?usp=sharing"",""พังงา!M279"")"),0)</f>
        <v>0</v>
      </c>
      <c r="O384" s="175">
        <f t="shared" ca="1" si="109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IFERROR(__xludf.DUMMYFUNCTION("IMPORTRANGE(""https://docs.google.com/spreadsheets/d/1IYY_tgx_IHuhSq3AJ5eI5OnqOPBNLWSHKh2a30DoXe8/edit?usp=sharing"",""พังงา!L280"")"),460140)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IFERROR(__xludf.DUMMYFUNCTION("IMPORTRANGE(""https://docs.google.com/spreadsheets/d/1IYY_tgx_IHuhSq3AJ5eI5OnqOPBNLWSHKh2a30DoXe8/edit?usp=sharing"",""พังงา!M280"")"),421500)</f>
        <v>421500</v>
      </c>
      <c r="O385" s="175">
        <f t="shared" ca="1" si="109"/>
        <v>91.602555743904034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IFERROR(__xludf.DUMMYFUNCTION("IMPORTRANGE(""https://docs.google.com/spreadsheets/d/1IYY_tgx_IHuhSq3AJ5eI5OnqOPBNLWSHKh2a30DoXe8/edit?usp=sharing"",""พังงา!M281"")"),96810)</f>
        <v>96810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IFERROR(__xludf.DUMMYFUNCTION("IMPORTRANGE(""https://docs.google.com/spreadsheets/d/1IYY_tgx_IHuhSq3AJ5eI5OnqOPBNLWSHKh2a30DoXe8/edit?usp=sharing"",""พังงา!M282"")"),312500)</f>
        <v>312500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IFERROR(__xludf.DUMMYFUNCTION("IMPORTRANGE(""https://docs.google.com/spreadsheets/d/1IYY_tgx_IHuhSq3AJ5eI5OnqOPBNLWSHKh2a30DoXe8/edit?usp=sharing"",""พังงา!M284"")"),12190)</f>
        <v>12190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IFERROR(__xludf.DUMMYFUNCTION("IMPORTRANGE(""https://docs.google.com/spreadsheets/d/1IYY_tgx_IHuhSq3AJ5eI5OnqOPBNLWSHKh2a30DoXe8/edit?usp=sharing"",""พังงา!J286"")"),0)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IFERROR(__xludf.DUMMYFUNCTION("IMPORTRANGE(""https://docs.google.com/spreadsheets/d/1IYY_tgx_IHuhSq3AJ5eI5OnqOPBNLWSHKh2a30DoXe8/edit?usp=sharing"",""พังงา!J287"")"),1)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IFERROR(__xludf.DUMMYFUNCTION("IMPORTRANGE(""https://docs.google.com/spreadsheets/d/1IYY_tgx_IHuhSq3AJ5eI5OnqOPBNLWSHKh2a30DoXe8/edit?usp=sharing"",""พังงา!J288"")"),1)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IFERROR(__xludf.DUMMYFUNCTION("IMPORTRANGE(""https://docs.google.com/spreadsheets/d/1IYY_tgx_IHuhSq3AJ5eI5OnqOPBNLWSHKh2a30DoXe8/edit?usp=sharing"",""พังงา!J289"")"),1)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IFERROR(__xludf.DUMMYFUNCTION("IMPORTRANGE(""https://docs.google.com/spreadsheets/d/1IYY_tgx_IHuhSq3AJ5eI5OnqOPBNLWSHKh2a30DoXe8/edit?usp=sharing"",""พังงา!I291"")"),50)</f>
        <v>50</v>
      </c>
      <c r="J396" s="204">
        <f ca="1">IFERROR(__xludf.DUMMYFUNCTION("IMPORTRANGE(""https://docs.google.com/spreadsheets/d/1IYY_tgx_IHuhSq3AJ5eI5OnqOPBNLWSHKh2a30DoXe8/edit?usp=sharing"",""พังงา!J291"")"),50)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IFERROR(__xludf.DUMMYFUNCTION("IMPORTRANGE(""https://docs.google.com/spreadsheets/d/1IYY_tgx_IHuhSq3AJ5eI5OnqOPBNLWSHKh2a30DoXe8/edit?usp=sharing"",""พังงา!I292"")"),500)</f>
        <v>500</v>
      </c>
      <c r="J397" s="204">
        <f ca="1">IFERROR(__xludf.DUMMYFUNCTION("IMPORTRANGE(""https://docs.google.com/spreadsheets/d/1IYY_tgx_IHuhSq3AJ5eI5OnqOPBNLWSHKh2a30DoXe8/edit?usp=sharing"",""พังงา!J292"")"),500)</f>
        <v>500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IFERROR(__xludf.DUMMYFUNCTION("IMPORTRANGE(""https://docs.google.com/spreadsheets/d/1IYY_tgx_IHuhSq3AJ5eI5OnqOPBNLWSHKh2a30DoXe8/edit?usp=sharing"",""พังงา!I293"")"),50)</f>
        <v>50</v>
      </c>
      <c r="J398" s="204">
        <f ca="1">IFERROR(__xludf.DUMMYFUNCTION("IMPORTRANGE(""https://docs.google.com/spreadsheets/d/1IYY_tgx_IHuhSq3AJ5eI5OnqOPBNLWSHKh2a30DoXe8/edit?usp=sharing"",""พังงา!J293"")"),50)</f>
        <v>50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IFERROR(__xludf.DUMMYFUNCTION("IMPORTRANGE(""https://docs.google.com/spreadsheets/d/1IYY_tgx_IHuhSq3AJ5eI5OnqOPBNLWSHKh2a30DoXe8/edit?usp=sharing"",""พังงา!J294"")"),0)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IFERROR(__xludf.DUMMYFUNCTION("IMPORTRANGE(""https://docs.google.com/spreadsheets/d/1IYY_tgx_IHuhSq3AJ5eI5OnqOPBNLWSHKh2a30DoXe8/edit?usp=sharing"",""พังงา!J295"")"),0)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IFERROR(__xludf.DUMMYFUNCTION("IMPORTRANGE(""https://docs.google.com/spreadsheets/d/1IYY_tgx_IHuhSq3AJ5eI5OnqOPBNLWSHKh2a30DoXe8/edit?usp=sharing"",""พังงา!M296"")"),36085)</f>
        <v>36085</v>
      </c>
      <c r="O401" s="379">
        <f ca="1">+IF(L401&gt;0,N401*100/L401,0)</f>
        <v>31.022180192572215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IFERROR(__xludf.DUMMYFUNCTION("IMPORTRANGE(""https://docs.google.com/spreadsheets/d/1IYY_tgx_IHuhSq3AJ5eI5OnqOPBNLWSHKh2a30DoXe8/edit?usp=sharing"",""พังงา!L298"")"),0)</f>
        <v>0</v>
      </c>
      <c r="M403" s="168"/>
      <c r="N403" s="175">
        <f ca="1">IFERROR(__xludf.DUMMYFUNCTION("IMPORTRANGE(""https://docs.google.com/spreadsheets/d/1IYY_tgx_IHuhSq3AJ5eI5OnqOPBNLWSHKh2a30DoXe8/edit?usp=sharing"",""พังงา!M298"")"),0)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IFERROR(__xludf.DUMMYFUNCTION("IMPORTRANGE(""https://docs.google.com/spreadsheets/d/1IYY_tgx_IHuhSq3AJ5eI5OnqOPBNLWSHKh2a30DoXe8/edit?usp=sharing"",""พังงา!M299"")"),36085)</f>
        <v>36085</v>
      </c>
      <c r="O404" s="175">
        <f t="shared" ca="1" si="112"/>
        <v>31.022180192572215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IFERROR(__xludf.DUMMYFUNCTION("IMPORTRANGE(""https://docs.google.com/spreadsheets/d/1IYY_tgx_IHuhSq3AJ5eI5OnqOPBNLWSHKh2a30DoXe8/edit?usp=sharing"",""พังงา!L300"")"),0)</f>
        <v>0</v>
      </c>
      <c r="M405" s="175"/>
      <c r="N405" s="175">
        <f ca="1">IFERROR(__xludf.DUMMYFUNCTION("IMPORTRANGE(""https://docs.google.com/spreadsheets/d/1IYY_tgx_IHuhSq3AJ5eI5OnqOPBNLWSHKh2a30DoXe8/edit?usp=sharing"",""พังงา!M300"")"),0)</f>
        <v>0</v>
      </c>
      <c r="O405" s="175">
        <f t="shared" ca="1" si="112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IFERROR(__xludf.DUMMYFUNCTION("IMPORTRANGE(""https://docs.google.com/spreadsheets/d/1IYY_tgx_IHuhSq3AJ5eI5OnqOPBNLWSHKh2a30DoXe8/edit?usp=sharing"",""พังงา!L301"")"),116320)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IFERROR(__xludf.DUMMYFUNCTION("IMPORTRANGE(""https://docs.google.com/spreadsheets/d/1IYY_tgx_IHuhSq3AJ5eI5OnqOPBNLWSHKh2a30DoXe8/edit?usp=sharing"",""พังงา!M301"")"),36085)</f>
        <v>36085</v>
      </c>
      <c r="O406" s="175">
        <f t="shared" ca="1" si="112"/>
        <v>31.022180192572215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IFERROR(__xludf.DUMMYFUNCTION("IMPORTRANGE(""https://docs.google.com/spreadsheets/d/1IYY_tgx_IHuhSq3AJ5eI5OnqOPBNLWSHKh2a30DoXe8/edit?usp=sharing"",""พังงา!M302"")"),32095)</f>
        <v>32095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IFERROR(__xludf.DUMMYFUNCTION("IMPORTRANGE(""https://docs.google.com/spreadsheets/d/1IYY_tgx_IHuhSq3AJ5eI5OnqOPBNLWSHKh2a30DoXe8/edit?usp=sharing"",""พังงา!M303"")"),0)</f>
        <v>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IFERROR(__xludf.DUMMYFUNCTION("IMPORTRANGE(""https://docs.google.com/spreadsheets/d/1IYY_tgx_IHuhSq3AJ5eI5OnqOPBNLWSHKh2a30DoXe8/edit?usp=sharing"",""พังงา!M305"")"),3990)</f>
        <v>3990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IFERROR(__xludf.DUMMYFUNCTION("IMPORTRANGE(""https://docs.google.com/spreadsheets/d/1IYY_tgx_IHuhSq3AJ5eI5OnqOPBNLWSHKh2a30DoXe8/edit?usp=sharing"",""พังงา!J307"")"),0)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IFERROR(__xludf.DUMMYFUNCTION("IMPORTRANGE(""https://docs.google.com/spreadsheets/d/1IYY_tgx_IHuhSq3AJ5eI5OnqOPBNLWSHKh2a30DoXe8/edit?usp=sharing"",""พังงา!J308"")"),1)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IFERROR(__xludf.DUMMYFUNCTION("IMPORTRANGE(""https://docs.google.com/spreadsheets/d/1IYY_tgx_IHuhSq3AJ5eI5OnqOPBNLWSHKh2a30DoXe8/edit?usp=sharing"",""พังงา!J309"")"),1)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IFERROR(__xludf.DUMMYFUNCTION("IMPORTRANGE(""https://docs.google.com/spreadsheets/d/1IYY_tgx_IHuhSq3AJ5eI5OnqOPBNLWSHKh2a30DoXe8/edit?usp=sharing"",""พังงา!J310"")"),1)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IFERROR(__xludf.DUMMYFUNCTION("IMPORTRANGE(""https://docs.google.com/spreadsheets/d/1IYY_tgx_IHuhSq3AJ5eI5OnqOPBNLWSHKh2a30DoXe8/edit?usp=sharing"",""พังงา!I311"")"),30)</f>
        <v>30</v>
      </c>
      <c r="J416" s="207">
        <f ca="1">IFERROR(__xludf.DUMMYFUNCTION("IMPORTRANGE(""https://docs.google.com/spreadsheets/d/1IYY_tgx_IHuhSq3AJ5eI5OnqOPBNLWSHKh2a30DoXe8/edit?usp=sharing"",""พังงา!J311"")"),30)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IFERROR(__xludf.DUMMYFUNCTION("IMPORTRANGE(""https://docs.google.com/spreadsheets/d/1IYY_tgx_IHuhSq3AJ5eI5OnqOPBNLWSHKh2a30DoXe8/edit?usp=sharing"",""พังงา!J328"")"),0)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IFERROR(__xludf.DUMMYFUNCTION("IMPORTRANGE(""https://docs.google.com/spreadsheets/d/1IYY_tgx_IHuhSq3AJ5eI5OnqOPBNLWSHKh2a30DoXe8/edit?usp=sharing"",""พังงา!J329"")"),0)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IFERROR(__xludf.DUMMYFUNCTION("IMPORTRANGE(""https://docs.google.com/spreadsheets/d/1IYY_tgx_IHuhSq3AJ5eI5OnqOPBNLWSHKh2a30DoXe8/edit?usp=sharing"",""พังงา!M330"")"),39125)</f>
        <v>39125</v>
      </c>
      <c r="O435" s="418">
        <f t="shared" ref="O435:O439" ca="1" si="114">+IF(L435&gt;0,N435*100/L435,0)</f>
        <v>44.460227272727273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IFERROR(__xludf.DUMMYFUNCTION("IMPORTRANGE(""https://docs.google.com/spreadsheets/d/1IYY_tgx_IHuhSq3AJ5eI5OnqOPBNLWSHKh2a30DoXe8/edit?usp=sharing"",""พังงา!L331"")"),0)</f>
        <v>0</v>
      </c>
      <c r="M436" s="168"/>
      <c r="N436" s="175">
        <f ca="1">IFERROR(__xludf.DUMMYFUNCTION("IMPORTRANGE(""https://docs.google.com/spreadsheets/d/1IYY_tgx_IHuhSq3AJ5eI5OnqOPBNLWSHKh2a30DoXe8/edit?usp=sharing"",""พังงา!M331"")"),0)</f>
        <v>0</v>
      </c>
      <c r="O436" s="175">
        <f t="shared" ca="1" si="114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IFERROR(__xludf.DUMMYFUNCTION("IMPORTRANGE(""https://docs.google.com/spreadsheets/d/1IYY_tgx_IHuhSq3AJ5eI5OnqOPBNLWSHKh2a30DoXe8/edit?usp=sharing"",""พังงา!L332"")"),88000)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IFERROR(__xludf.DUMMYFUNCTION("IMPORTRANGE(""https://docs.google.com/spreadsheets/d/1IYY_tgx_IHuhSq3AJ5eI5OnqOPBNLWSHKh2a30DoXe8/edit?usp=sharing"",""พังงา!M332"")"),39125)</f>
        <v>39125</v>
      </c>
      <c r="O437" s="175">
        <f t="shared" ca="1" si="114"/>
        <v>44.460227272727273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IFERROR(__xludf.DUMMYFUNCTION("IMPORTRANGE(""https://docs.google.com/spreadsheets/d/1IYY_tgx_IHuhSq3AJ5eI5OnqOPBNLWSHKh2a30DoXe8/edit?usp=sharing"",""พังงา!L333"")"),0)</f>
        <v>0</v>
      </c>
      <c r="M438" s="175"/>
      <c r="N438" s="175">
        <f ca="1">IFERROR(__xludf.DUMMYFUNCTION("IMPORTRANGE(""https://docs.google.com/spreadsheets/d/1IYY_tgx_IHuhSq3AJ5eI5OnqOPBNLWSHKh2a30DoXe8/edit?usp=sharing"",""พังงา!M333"")"),0)</f>
        <v>0</v>
      </c>
      <c r="O438" s="175">
        <f t="shared" ca="1" si="114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IFERROR(__xludf.DUMMYFUNCTION("IMPORTRANGE(""https://docs.google.com/spreadsheets/d/1IYY_tgx_IHuhSq3AJ5eI5OnqOPBNLWSHKh2a30DoXe8/edit?usp=sharing"",""พังงา!L334"")"),88000)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IFERROR(__xludf.DUMMYFUNCTION("IMPORTRANGE(""https://docs.google.com/spreadsheets/d/1IYY_tgx_IHuhSq3AJ5eI5OnqOPBNLWSHKh2a30DoXe8/edit?usp=sharing"",""พังงา!M334"")"),39125)</f>
        <v>39125</v>
      </c>
      <c r="O439" s="175">
        <f t="shared" ca="1" si="114"/>
        <v>44.460227272727273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IFERROR(__xludf.DUMMYFUNCTION("IMPORTRANGE(""https://docs.google.com/spreadsheets/d/1IYY_tgx_IHuhSq3AJ5eI5OnqOPBNLWSHKh2a30DoXe8/edit?usp=sharing"",""พังงา!M335"")"),23905)</f>
        <v>23905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IFERROR(__xludf.DUMMYFUNCTION("IMPORTRANGE(""https://docs.google.com/spreadsheets/d/1IYY_tgx_IHuhSq3AJ5eI5OnqOPBNLWSHKh2a30DoXe8/edit?usp=sharing"",""พังงา!M338"")"),15220)</f>
        <v>15220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IFERROR(__xludf.DUMMYFUNCTION("IMPORTRANGE(""https://docs.google.com/spreadsheets/d/1IYY_tgx_IHuhSq3AJ5eI5OnqOPBNLWSHKh2a30DoXe8/edit?usp=sharing"",""พังงา!J340"")"),0)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IFERROR(__xludf.DUMMYFUNCTION("IMPORTRANGE(""https://docs.google.com/spreadsheets/d/1IYY_tgx_IHuhSq3AJ5eI5OnqOPBNLWSHKh2a30DoXe8/edit?usp=sharing"",""พังงา!J341"")"),1)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IFERROR(__xludf.DUMMYFUNCTION("IMPORTRANGE(""https://docs.google.com/spreadsheets/d/1IYY_tgx_IHuhSq3AJ5eI5OnqOPBNLWSHKh2a30DoXe8/edit?usp=sharing"",""พังงา!J342"")"),1)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IFERROR(__xludf.DUMMYFUNCTION("IMPORTRANGE(""https://docs.google.com/spreadsheets/d/1IYY_tgx_IHuhSq3AJ5eI5OnqOPBNLWSHKh2a30DoXe8/edit?usp=sharing"",""พังงา!J343"")"),1)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7">
        <f ca="1">IFERROR(__xludf.DUMMYFUNCTION("IMPORTRANGE(""https://docs.google.com/spreadsheets/d/1IYY_tgx_IHuhSq3AJ5eI5OnqOPBNLWSHKh2a30DoXe8/edit?usp=sharing"",""พังงา!J344"")"),15)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5">
        <f ca="1">IFERROR(__xludf.DUMMYFUNCTION("IMPORTRANGE(""https://docs.google.com/spreadsheets/d/1IYY_tgx_IHuhSq3AJ5eI5OnqOPBNLWSHKh2a30DoXe8/edit?usp=sharing"",""พังงา!J345"")"),15)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4">
        <f ca="1">IFERROR(__xludf.DUMMYFUNCTION("IMPORTRANGE(""https://docs.google.com/spreadsheets/d/1IYY_tgx_IHuhSq3AJ5eI5OnqOPBNLWSHKh2a30DoXe8/edit?usp=sharing"",""พังงา!J346"")"),0)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IFERROR(__xludf.DUMMYFUNCTION("IMPORTRANGE(""https://docs.google.com/spreadsheets/d/1IYY_tgx_IHuhSq3AJ5eI5OnqOPBNLWSHKh2a30DoXe8/edit?usp=sharing"",""พังงา!I347"")"),0)</f>
        <v>0</v>
      </c>
      <c r="J452" s="194">
        <f ca="1">IFERROR(__xludf.DUMMYFUNCTION("IMPORTRANGE(""https://docs.google.com/spreadsheets/d/1IYY_tgx_IHuhSq3AJ5eI5OnqOPBNLWSHKh2a30DoXe8/edit?usp=sharing"",""พังงา!J347"")"),0)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IFERROR(__xludf.DUMMYFUNCTION("IMPORTRANGE(""https://docs.google.com/spreadsheets/d/1IYY_tgx_IHuhSq3AJ5eI5OnqOPBNLWSHKh2a30DoXe8/edit?usp=sharing"",""พังงา!J348"")"),0)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IFERROR(__xludf.DUMMYFUNCTION("IMPORTRANGE(""https://docs.google.com/spreadsheets/d/1IYY_tgx_IHuhSq3AJ5eI5OnqOPBNLWSHKh2a30DoXe8/edit?usp=sharing"",""พังงา!J349"")"),0)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IFERROR(__xludf.DUMMYFUNCTION("IMPORTRANGE(""https://docs.google.com/spreadsheets/d/1IYY_tgx_IHuhSq3AJ5eI5OnqOPBNLWSHKh2a30DoXe8/edit?usp=sharing"",""พังงา!J350"")"),20614.27)</f>
        <v>20614.27</v>
      </c>
      <c r="K455" s="378">
        <f ca="1">IF(I455&gt;0,J455*100/I455,0)</f>
        <v>98.732075290962214</v>
      </c>
      <c r="L455" s="379">
        <f ca="1">IFERROR(__xludf.DUMMYFUNCTION("IMPORTRANGE(""https://docs.google.com/spreadsheets/d/1IYY_tgx_IHuhSq3AJ5eI5OnqOPBNLWSHKh2a30DoXe8/edit?usp=sharing"",""พังงา!L350"")"),165422)</f>
        <v>165422</v>
      </c>
      <c r="M455" s="379"/>
      <c r="N455" s="379">
        <f ca="1">IFERROR(__xludf.DUMMYFUNCTION("IMPORTRANGE(""https://docs.google.com/spreadsheets/d/1IYY_tgx_IHuhSq3AJ5eI5OnqOPBNLWSHKh2a30DoXe8/edit?usp=sharing"",""พังงา!M350"")"),50120)</f>
        <v>50120</v>
      </c>
      <c r="O455" s="379">
        <f t="shared" ref="O455:O459" ca="1" si="116">+IF(L455&gt;0,N455*100/L455,0)</f>
        <v>30.29826746140175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IFERROR(__xludf.DUMMYFUNCTION("IMPORTRANGE(""https://docs.google.com/spreadsheets/d/1IYY_tgx_IHuhSq3AJ5eI5OnqOPBNLWSHKh2a30DoXe8/edit?usp=sharing"",""พังงา!L351"")"),0)</f>
        <v>0</v>
      </c>
      <c r="M456" s="168"/>
      <c r="N456" s="175">
        <f ca="1">IFERROR(__xludf.DUMMYFUNCTION("IMPORTRANGE(""https://docs.google.com/spreadsheets/d/1IYY_tgx_IHuhSq3AJ5eI5OnqOPBNLWSHKh2a30DoXe8/edit?usp=sharing"",""พังงา!M351"")"),0)</f>
        <v>0</v>
      </c>
      <c r="O456" s="175">
        <f t="shared" ca="1" si="116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IFERROR(__xludf.DUMMYFUNCTION("IMPORTRANGE(""https://docs.google.com/spreadsheets/d/1IYY_tgx_IHuhSq3AJ5eI5OnqOPBNLWSHKh2a30DoXe8/edit?usp=sharing"",""พังงา!L352"")"),165422)</f>
        <v>165422</v>
      </c>
      <c r="M457" s="169"/>
      <c r="N457" s="175">
        <f ca="1">IFERROR(__xludf.DUMMYFUNCTION("IMPORTRANGE(""https://docs.google.com/spreadsheets/d/1IYY_tgx_IHuhSq3AJ5eI5OnqOPBNLWSHKh2a30DoXe8/edit?usp=sharing"",""พังงา!M352"")"),50120)</f>
        <v>50120</v>
      </c>
      <c r="O457" s="175">
        <f t="shared" ca="1" si="116"/>
        <v>30.29826746140175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IFERROR(__xludf.DUMMYFUNCTION("IMPORTRANGE(""https://docs.google.com/spreadsheets/d/1IYY_tgx_IHuhSq3AJ5eI5OnqOPBNLWSHKh2a30DoXe8/edit?usp=sharing"",""พังงา!L353"")"),0)</f>
        <v>0</v>
      </c>
      <c r="M458" s="175"/>
      <c r="N458" s="175">
        <f ca="1">IFERROR(__xludf.DUMMYFUNCTION("IMPORTRANGE(""https://docs.google.com/spreadsheets/d/1IYY_tgx_IHuhSq3AJ5eI5OnqOPBNLWSHKh2a30DoXe8/edit?usp=sharing"",""พังงา!M353"")"),0)</f>
        <v>0</v>
      </c>
      <c r="O458" s="175">
        <f t="shared" ca="1" si="116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IFERROR(__xludf.DUMMYFUNCTION("IMPORTRANGE(""https://docs.google.com/spreadsheets/d/1IYY_tgx_IHuhSq3AJ5eI5OnqOPBNLWSHKh2a30DoXe8/edit?usp=sharing"",""พังงา!L354"")"),165422)</f>
        <v>165422</v>
      </c>
      <c r="M459" s="175"/>
      <c r="N459" s="175">
        <f ca="1">IFERROR(__xludf.DUMMYFUNCTION("IMPORTRANGE(""https://docs.google.com/spreadsheets/d/1IYY_tgx_IHuhSq3AJ5eI5OnqOPBNLWSHKh2a30DoXe8/edit?usp=sharing"",""พังงา!M354"")"),50120)</f>
        <v>50120</v>
      </c>
      <c r="O459" s="175">
        <f t="shared" ca="1" si="116"/>
        <v>30.29826746140175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IFERROR(__xludf.DUMMYFUNCTION("IMPORTRANGE(""https://docs.google.com/spreadsheets/d/1IYY_tgx_IHuhSq3AJ5eI5OnqOPBNLWSHKh2a30DoXe8/edit?usp=sharing"",""พังงา!M355"")"),0)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IFERROR(__xludf.DUMMYFUNCTION("IMPORTRANGE(""https://docs.google.com/spreadsheets/d/1IYY_tgx_IHuhSq3AJ5eI5OnqOPBNLWSHKh2a30DoXe8/edit?usp=sharing"",""พังงา!M356"")"),0)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IFERROR(__xludf.DUMMYFUNCTION("IMPORTRANGE(""https://docs.google.com/spreadsheets/d/1IYY_tgx_IHuhSq3AJ5eI5OnqOPBNLWSHKh2a30DoXe8/edit?usp=sharing"",""พังงา!M358"")"),50120)</f>
        <v>50120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IFERROR(__xludf.DUMMYFUNCTION("IMPORTRANGE(""https://docs.google.com/spreadsheets/d/1IYY_tgx_IHuhSq3AJ5eI5OnqOPBNLWSHKh2a30DoXe8/edit?usp=sharing"",""พังงา!I359"")"),20879)</f>
        <v>20879</v>
      </c>
      <c r="J464" s="273">
        <f ca="1">IFERROR(__xludf.DUMMYFUNCTION("IMPORTRANGE(""https://docs.google.com/spreadsheets/d/1IYY_tgx_IHuhSq3AJ5eI5OnqOPBNLWSHKh2a30DoXe8/edit?usp=sharing"",""พังงา!J359"")"),20614.27)</f>
        <v>20614.27</v>
      </c>
      <c r="K464" s="274">
        <f t="shared" ref="K464:K515" ca="1" si="117">IF(I464&gt;0,J464*100/I464,0)</f>
        <v>98.732075290962214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8">
        <f t="shared" ca="1" si="117"/>
        <v>100.00158053546627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IFERROR(__xludf.DUMMYFUNCTION("IMPORTRANGE(""https://docs.google.com/spreadsheets/d/1IYY_tgx_IHuhSq3AJ5eI5OnqOPBNLWSHKh2a30DoXe8/edit?usp=sharing"",""พังงา!I362"")"),0)</f>
        <v>0</v>
      </c>
      <c r="J467" s="195">
        <f ca="1">IFERROR(__xludf.DUMMYFUNCTION("IMPORTRANGE(""https://docs.google.com/spreadsheets/d/1IYY_tgx_IHuhSq3AJ5eI5OnqOPBNLWSHKh2a30DoXe8/edit?usp=sharing"",""พังงา!J362"")"),19998.83)</f>
        <v>19998.830000000002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IFERROR(__xludf.DUMMYFUNCTION("IMPORTRANGE(""https://docs.google.com/spreadsheets/d/1IYY_tgx_IHuhSq3AJ5eI5OnqOPBNLWSHKh2a30DoXe8/edit?usp=sharing"",""พังงา!I363"")"),0)</f>
        <v>0</v>
      </c>
      <c r="J468" s="195">
        <f ca="1">IFERROR(__xludf.DUMMYFUNCTION("IMPORTRANGE(""https://docs.google.com/spreadsheets/d/1IYY_tgx_IHuhSq3AJ5eI5OnqOPBNLWSHKh2a30DoXe8/edit?usp=sharing"",""พังงา!J363"")"),1988)</f>
        <v>1988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IFERROR(__xludf.DUMMYFUNCTION("IMPORTRANGE(""https://docs.google.com/spreadsheets/d/1IYY_tgx_IHuhSq3AJ5eI5OnqOPBNLWSHKh2a30DoXe8/edit?usp=sharing"",""พังงา!I364"")"),0)</f>
        <v>0</v>
      </c>
      <c r="J469" s="195">
        <f ca="1">IFERROR(__xludf.DUMMYFUNCTION("IMPORTRANGE(""https://docs.google.com/spreadsheets/d/1IYY_tgx_IHuhSq3AJ5eI5OnqOPBNLWSHKh2a30DoXe8/edit?usp=sharing"",""พังงา!J364"")"),539.73)</f>
        <v>539.73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IFERROR(__xludf.DUMMYFUNCTION("IMPORTRANGE(""https://docs.google.com/spreadsheets/d/1IYY_tgx_IHuhSq3AJ5eI5OnqOPBNLWSHKh2a30DoXe8/edit?usp=sharing"",""พังงา!I365"")"),0)</f>
        <v>0</v>
      </c>
      <c r="J470" s="195">
        <f ca="1">IFERROR(__xludf.DUMMYFUNCTION("IMPORTRANGE(""https://docs.google.com/spreadsheets/d/1IYY_tgx_IHuhSq3AJ5eI5OnqOPBNLWSHKh2a30DoXe8/edit?usp=sharing"",""พังงา!J365"")"),57)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IFERROR(__xludf.DUMMYFUNCTION("IMPORTRANGE(""https://docs.google.com/spreadsheets/d/1IYY_tgx_IHuhSq3AJ5eI5OnqOPBNLWSHKh2a30DoXe8/edit?usp=sharing"",""พังงา!I366"")"),0)</f>
        <v>0</v>
      </c>
      <c r="J471" s="195">
        <f ca="1">IFERROR(__xludf.DUMMYFUNCTION("IMPORTRANGE(""https://docs.google.com/spreadsheets/d/1IYY_tgx_IHuhSq3AJ5eI5OnqOPBNLWSHKh2a30DoXe8/edit?usp=sharing"",""พังงา!J366"")"),340.77)</f>
        <v>340.77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IFERROR(__xludf.DUMMYFUNCTION("IMPORTRANGE(""https://docs.google.com/spreadsheets/d/1IYY_tgx_IHuhSq3AJ5eI5OnqOPBNLWSHKh2a30DoXe8/edit?usp=sharing"",""พังงา!I367"")"),0)</f>
        <v>0</v>
      </c>
      <c r="J472" s="195">
        <f ca="1">IFERROR(__xludf.DUMMYFUNCTION("IMPORTRANGE(""https://docs.google.com/spreadsheets/d/1IYY_tgx_IHuhSq3AJ5eI5OnqOPBNLWSHKh2a30DoXe8/edit?usp=sharing"",""พังงา!J367"")"),48)</f>
        <v>48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IFERROR(__xludf.DUMMYFUNCTION("IMPORTRANGE(""https://docs.google.com/spreadsheets/d/1IYY_tgx_IHuhSq3AJ5eI5OnqOPBNLWSHKh2a30DoXe8/edit?usp=sharing"",""พังงา!J368"")"),20879.59)</f>
        <v>20879.59</v>
      </c>
      <c r="K473" s="208">
        <f t="shared" ca="1" si="117"/>
        <v>100.00282580583361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IFERROR(__xludf.DUMMYFUNCTION("IMPORTRANGE(""https://docs.google.com/spreadsheets/d/1IYY_tgx_IHuhSq3AJ5eI5OnqOPBNLWSHKh2a30DoXe8/edit?usp=sharing"",""พังงา!J369"")"),2093)</f>
        <v>2093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IFERROR(__xludf.DUMMYFUNCTION("IMPORTRANGE(""https://docs.google.com/spreadsheets/d/1IYY_tgx_IHuhSq3AJ5eI5OnqOPBNLWSHKh2a30DoXe8/edit?usp=sharing"",""พังงา!I370"")"),0)</f>
        <v>0</v>
      </c>
      <c r="J475" s="195">
        <f ca="1">IFERROR(__xludf.DUMMYFUNCTION("IMPORTRANGE(""https://docs.google.com/spreadsheets/d/1IYY_tgx_IHuhSq3AJ5eI5OnqOPBNLWSHKh2a30DoXe8/edit?usp=sharing"",""พังงา!J370"")"),20185.72)</f>
        <v>20185.72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IFERROR(__xludf.DUMMYFUNCTION("IMPORTRANGE(""https://docs.google.com/spreadsheets/d/1IYY_tgx_IHuhSq3AJ5eI5OnqOPBNLWSHKh2a30DoXe8/edit?usp=sharing"",""พังงา!I371"")"),0)</f>
        <v>0</v>
      </c>
      <c r="J476" s="195">
        <f ca="1">IFERROR(__xludf.DUMMYFUNCTION("IMPORTRANGE(""https://docs.google.com/spreadsheets/d/1IYY_tgx_IHuhSq3AJ5eI5OnqOPBNLWSHKh2a30DoXe8/edit?usp=sharing"",""พังงา!J371"")"),1998)</f>
        <v>1998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IFERROR(__xludf.DUMMYFUNCTION("IMPORTRANGE(""https://docs.google.com/spreadsheets/d/1IYY_tgx_IHuhSq3AJ5eI5OnqOPBNLWSHKh2a30DoXe8/edit?usp=sharing"",""พังงา!I372"")"),0)</f>
        <v>0</v>
      </c>
      <c r="J477" s="195">
        <f ca="1">IFERROR(__xludf.DUMMYFUNCTION("IMPORTRANGE(""https://docs.google.com/spreadsheets/d/1IYY_tgx_IHuhSq3AJ5eI5OnqOPBNLWSHKh2a30DoXe8/edit?usp=sharing"",""พังงา!J372"")"),338)</f>
        <v>338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IFERROR(__xludf.DUMMYFUNCTION("IMPORTRANGE(""https://docs.google.com/spreadsheets/d/1IYY_tgx_IHuhSq3AJ5eI5OnqOPBNLWSHKh2a30DoXe8/edit?usp=sharing"",""พังงา!I373"")"),0)</f>
        <v>0</v>
      </c>
      <c r="J478" s="195">
        <f ca="1">IFERROR(__xludf.DUMMYFUNCTION("IMPORTRANGE(""https://docs.google.com/spreadsheets/d/1IYY_tgx_IHuhSq3AJ5eI5OnqOPBNLWSHKh2a30DoXe8/edit?usp=sharing"",""พังงา!J373"")"),42)</f>
        <v>42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IFERROR(__xludf.DUMMYFUNCTION("IMPORTRANGE(""https://docs.google.com/spreadsheets/d/1IYY_tgx_IHuhSq3AJ5eI5OnqOPBNLWSHKh2a30DoXe8/edit?usp=sharing"",""พังงา!I374"")"),0)</f>
        <v>0</v>
      </c>
      <c r="J479" s="195">
        <f ca="1">IFERROR(__xludf.DUMMYFUNCTION("IMPORTRANGE(""https://docs.google.com/spreadsheets/d/1IYY_tgx_IHuhSq3AJ5eI5OnqOPBNLWSHKh2a30DoXe8/edit?usp=sharing"",""พังงา!J374"")"),355.87)</f>
        <v>355.87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IFERROR(__xludf.DUMMYFUNCTION("IMPORTRANGE(""https://docs.google.com/spreadsheets/d/1IYY_tgx_IHuhSq3AJ5eI5OnqOPBNLWSHKh2a30DoXe8/edit?usp=sharing"",""พังงา!I375"")"),0)</f>
        <v>0</v>
      </c>
      <c r="J480" s="195">
        <f ca="1">IFERROR(__xludf.DUMMYFUNCTION("IMPORTRANGE(""https://docs.google.com/spreadsheets/d/1IYY_tgx_IHuhSq3AJ5eI5OnqOPBNLWSHKh2a30DoXe8/edit?usp=sharing"",""พังงา!J375"")"),53)</f>
        <v>53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IFERROR(__xludf.DUMMYFUNCTION("IMPORTRANGE(""https://docs.google.com/spreadsheets/d/1IYY_tgx_IHuhSq3AJ5eI5OnqOPBNLWSHKh2a30DoXe8/edit?usp=sharing"",""พังงา!J376"")"),20614.27)</f>
        <v>20614.27</v>
      </c>
      <c r="K481" s="208">
        <f t="shared" ca="1" si="117"/>
        <v>98.732075290962214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IFERROR(__xludf.DUMMYFUNCTION("IMPORTRANGE(""https://docs.google.com/spreadsheets/d/1IYY_tgx_IHuhSq3AJ5eI5OnqOPBNLWSHKh2a30DoXe8/edit?usp=sharing"",""พังงา!J377"")"),2059)</f>
        <v>2059</v>
      </c>
      <c r="K482" s="208">
        <f t="shared" ca="1" si="117"/>
        <v>98.375537505972289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IFERROR(__xludf.DUMMYFUNCTION("IMPORTRANGE(""https://docs.google.com/spreadsheets/d/1IYY_tgx_IHuhSq3AJ5eI5OnqOPBNLWSHKh2a30DoXe8/edit?usp=sharing"",""พังงา!I378"")"),0)</f>
        <v>0</v>
      </c>
      <c r="J483" s="195">
        <f ca="1">IFERROR(__xludf.DUMMYFUNCTION("IMPORTRANGE(""https://docs.google.com/spreadsheets/d/1IYY_tgx_IHuhSq3AJ5eI5OnqOPBNLWSHKh2a30DoXe8/edit?usp=sharing"",""พังงา!J378"")"),20256.29)</f>
        <v>20256.29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IFERROR(__xludf.DUMMYFUNCTION("IMPORTRANGE(""https://docs.google.com/spreadsheets/d/1IYY_tgx_IHuhSq3AJ5eI5OnqOPBNLWSHKh2a30DoXe8/edit?usp=sharing"",""พังงา!I379"")"),0)</f>
        <v>0</v>
      </c>
      <c r="J484" s="195">
        <f ca="1">IFERROR(__xludf.DUMMYFUNCTION("IMPORTRANGE(""https://docs.google.com/spreadsheets/d/1IYY_tgx_IHuhSq3AJ5eI5OnqOPBNLWSHKh2a30DoXe8/edit?usp=sharing"",""พังงา!J379"")"),2005)</f>
        <v>2005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IFERROR(__xludf.DUMMYFUNCTION("IMPORTRANGE(""https://docs.google.com/spreadsheets/d/1IYY_tgx_IHuhSq3AJ5eI5OnqOPBNLWSHKh2a30DoXe8/edit?usp=sharing"",""พังงา!I380"")"),0)</f>
        <v>0</v>
      </c>
      <c r="J485" s="195">
        <f ca="1">IFERROR(__xludf.DUMMYFUNCTION("IMPORTRANGE(""https://docs.google.com/spreadsheets/d/1IYY_tgx_IHuhSq3AJ5eI5OnqOPBNLWSHKh2a30DoXe8/edit?usp=sharing"",""พังงา!J380"")"),0)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IFERROR(__xludf.DUMMYFUNCTION("IMPORTRANGE(""https://docs.google.com/spreadsheets/d/1IYY_tgx_IHuhSq3AJ5eI5OnqOPBNLWSHKh2a30DoXe8/edit?usp=sharing"",""พังงา!I381"")"),0)</f>
        <v>0</v>
      </c>
      <c r="J486" s="195">
        <f ca="1">IFERROR(__xludf.DUMMYFUNCTION("IMPORTRANGE(""https://docs.google.com/spreadsheets/d/1IYY_tgx_IHuhSq3AJ5eI5OnqOPBNLWSHKh2a30DoXe8/edit?usp=sharing"",""พังงา!J381"")"),0)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IFERROR(__xludf.DUMMYFUNCTION("IMPORTRANGE(""https://docs.google.com/spreadsheets/d/1IYY_tgx_IHuhSq3AJ5eI5OnqOPBNLWSHKh2a30DoXe8/edit?usp=sharing"",""พังงา!J382"")"),355.87)</f>
        <v>355.87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IFERROR(__xludf.DUMMYFUNCTION("IMPORTRANGE(""https://docs.google.com/spreadsheets/d/1IYY_tgx_IHuhSq3AJ5eI5OnqOPBNLWSHKh2a30DoXe8/edit?usp=sharing"",""พังงา!J383"")"),53)</f>
        <v>53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IFERROR(__xludf.DUMMYFUNCTION("IMPORTRANGE(""https://docs.google.com/spreadsheets/d/1IYY_tgx_IHuhSq3AJ5eI5OnqOPBNLWSHKh2a30DoXe8/edit?usp=sharing"",""พังงา!I384"")"),0)</f>
        <v>0</v>
      </c>
      <c r="J489" s="195">
        <f ca="1">IFERROR(__xludf.DUMMYFUNCTION("IMPORTRANGE(""https://docs.google.com/spreadsheets/d/1IYY_tgx_IHuhSq3AJ5eI5OnqOPBNLWSHKh2a30DoXe8/edit?usp=sharing"",""พังงา!J384"")"),355.87)</f>
        <v>355.87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IFERROR(__xludf.DUMMYFUNCTION("IMPORTRANGE(""https://docs.google.com/spreadsheets/d/1IYY_tgx_IHuhSq3AJ5eI5OnqOPBNLWSHKh2a30DoXe8/edit?usp=sharing"",""พังงา!I385"")"),0)</f>
        <v>0</v>
      </c>
      <c r="J490" s="195">
        <f ca="1">IFERROR(__xludf.DUMMYFUNCTION("IMPORTRANGE(""https://docs.google.com/spreadsheets/d/1IYY_tgx_IHuhSq3AJ5eI5OnqOPBNLWSHKh2a30DoXe8/edit?usp=sharing"",""พังงา!J385"")"),53)</f>
        <v>53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IFERROR(__xludf.DUMMYFUNCTION("IMPORTRANGE(""https://docs.google.com/spreadsheets/d/1IYY_tgx_IHuhSq3AJ5eI5OnqOPBNLWSHKh2a30DoXe8/edit?usp=sharing"",""พังงา!I386"")"),0)</f>
        <v>0</v>
      </c>
      <c r="J491" s="195">
        <f ca="1">IFERROR(__xludf.DUMMYFUNCTION("IMPORTRANGE(""https://docs.google.com/spreadsheets/d/1IYY_tgx_IHuhSq3AJ5eI5OnqOPBNLWSHKh2a30DoXe8/edit?usp=sharing"",""พังงา!J386"")"),0)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IFERROR(__xludf.DUMMYFUNCTION("IMPORTRANGE(""https://docs.google.com/spreadsheets/d/1IYY_tgx_IHuhSq3AJ5eI5OnqOPBNLWSHKh2a30DoXe8/edit?usp=sharing"",""พังงา!I387"")"),0)</f>
        <v>0</v>
      </c>
      <c r="J492" s="195">
        <f ca="1">IFERROR(__xludf.DUMMYFUNCTION("IMPORTRANGE(""https://docs.google.com/spreadsheets/d/1IYY_tgx_IHuhSq3AJ5eI5OnqOPBNLWSHKh2a30DoXe8/edit?usp=sharing"",""พังงา!J387"")"),0)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IFERROR(__xludf.DUMMYFUNCTION("IMPORTRANGE(""https://docs.google.com/spreadsheets/d/1IYY_tgx_IHuhSq3AJ5eI5OnqOPBNLWSHKh2a30DoXe8/edit?usp=sharing"",""พังงา!I388"")"),0)</f>
        <v>0</v>
      </c>
      <c r="J493" s="195">
        <f ca="1">IFERROR(__xludf.DUMMYFUNCTION("IMPORTRANGE(""https://docs.google.com/spreadsheets/d/1IYY_tgx_IHuhSq3AJ5eI5OnqOPBNLWSHKh2a30DoXe8/edit?usp=sharing"",""พังงา!J388"")"),0)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IFERROR(__xludf.DUMMYFUNCTION("IMPORTRANGE(""https://docs.google.com/spreadsheets/d/1IYY_tgx_IHuhSq3AJ5eI5OnqOPBNLWSHKh2a30DoXe8/edit?usp=sharing"",""พังงา!J390"")"),2.11)</f>
        <v>2.11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IFERROR(__xludf.DUMMYFUNCTION("IMPORTRANGE(""https://docs.google.com/spreadsheets/d/1IYY_tgx_IHuhSq3AJ5eI5OnqOPBNLWSHKh2a30DoXe8/edit?usp=sharing"",""พังงา!J391"")"),1)</f>
        <v>1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IFERROR(__xludf.DUMMYFUNCTION("IMPORTRANGE(""https://docs.google.com/spreadsheets/d/1IYY_tgx_IHuhSq3AJ5eI5OnqOPBNLWSHKh2a30DoXe8/edit?usp=sharing"",""พังงา!I395"")"),0)</f>
        <v>0</v>
      </c>
      <c r="J500" s="166">
        <f ca="1">IFERROR(__xludf.DUMMYFUNCTION("IMPORTRANGE(""https://docs.google.com/spreadsheets/d/1IYY_tgx_IHuhSq3AJ5eI5OnqOPBNLWSHKh2a30DoXe8/edit?usp=sharing"",""พังงา!J395"")"),0)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IFERROR(__xludf.DUMMYFUNCTION("IMPORTRANGE(""https://docs.google.com/spreadsheets/d/1IYY_tgx_IHuhSq3AJ5eI5OnqOPBNLWSHKh2a30DoXe8/edit?usp=sharing"",""พังงา!I396"")"),0)</f>
        <v>0</v>
      </c>
      <c r="J501" s="166">
        <f ca="1">IFERROR(__xludf.DUMMYFUNCTION("IMPORTRANGE(""https://docs.google.com/spreadsheets/d/1IYY_tgx_IHuhSq3AJ5eI5OnqOPBNLWSHKh2a30DoXe8/edit?usp=sharing"",""พังงา!J396"")"),0)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IFERROR(__xludf.DUMMYFUNCTION("IMPORTRANGE(""https://docs.google.com/spreadsheets/d/1IYY_tgx_IHuhSq3AJ5eI5OnqOPBNLWSHKh2a30DoXe8/edit?usp=sharing"",""พังงา!I397"")"),0)</f>
        <v>0</v>
      </c>
      <c r="J502" s="195">
        <f ca="1">IFERROR(__xludf.DUMMYFUNCTION("IMPORTRANGE(""https://docs.google.com/spreadsheets/d/1IYY_tgx_IHuhSq3AJ5eI5OnqOPBNLWSHKh2a30DoXe8/edit?usp=sharing"",""พังงา!J397"")"),0)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IFERROR(__xludf.DUMMYFUNCTION("IMPORTRANGE(""https://docs.google.com/spreadsheets/d/1IYY_tgx_IHuhSq3AJ5eI5OnqOPBNLWSHKh2a30DoXe8/edit?usp=sharing"",""พังงา!I398"")"),0)</f>
        <v>0</v>
      </c>
      <c r="J503" s="204">
        <f ca="1">IFERROR(__xludf.DUMMYFUNCTION("IMPORTRANGE(""https://docs.google.com/spreadsheets/d/1IYY_tgx_IHuhSq3AJ5eI5OnqOPBNLWSHKh2a30DoXe8/edit?usp=sharing"",""พังงา!J398"")"),0)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IFERROR(__xludf.DUMMYFUNCTION("IMPORTRANGE(""https://docs.google.com/spreadsheets/d/1IYY_tgx_IHuhSq3AJ5eI5OnqOPBNLWSHKh2a30DoXe8/edit?usp=sharing"",""พังงา!I399"")"),0)</f>
        <v>0</v>
      </c>
      <c r="J504" s="195">
        <f ca="1">IFERROR(__xludf.DUMMYFUNCTION("IMPORTRANGE(""https://docs.google.com/spreadsheets/d/1IYY_tgx_IHuhSq3AJ5eI5OnqOPBNLWSHKh2a30DoXe8/edit?usp=sharing"",""พังงา!J399"")"),0)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IFERROR(__xludf.DUMMYFUNCTION("IMPORTRANGE(""https://docs.google.com/spreadsheets/d/1IYY_tgx_IHuhSq3AJ5eI5OnqOPBNLWSHKh2a30DoXe8/edit?usp=sharing"",""พังงา!I400"")"),0)</f>
        <v>0</v>
      </c>
      <c r="J505" s="204">
        <f ca="1">IFERROR(__xludf.DUMMYFUNCTION("IMPORTRANGE(""https://docs.google.com/spreadsheets/d/1IYY_tgx_IHuhSq3AJ5eI5OnqOPBNLWSHKh2a30DoXe8/edit?usp=sharing"",""พังงา!J400"")"),0)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IFERROR(__xludf.DUMMYFUNCTION("IMPORTRANGE(""https://docs.google.com/spreadsheets/d/1IYY_tgx_IHuhSq3AJ5eI5OnqOPBNLWSHKh2a30DoXe8/edit?usp=sharing"",""พังงา!I401"")"),0)</f>
        <v>0</v>
      </c>
      <c r="J506" s="195">
        <f ca="1">IFERROR(__xludf.DUMMYFUNCTION("IMPORTRANGE(""https://docs.google.com/spreadsheets/d/1IYY_tgx_IHuhSq3AJ5eI5OnqOPBNLWSHKh2a30DoXe8/edit?usp=sharing"",""พังงา!J401"")"),0)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IFERROR(__xludf.DUMMYFUNCTION("IMPORTRANGE(""https://docs.google.com/spreadsheets/d/1IYY_tgx_IHuhSq3AJ5eI5OnqOPBNLWSHKh2a30DoXe8/edit?usp=sharing"",""พังงา!I402"")"),0)</f>
        <v>0</v>
      </c>
      <c r="J507" s="204">
        <f ca="1">IFERROR(__xludf.DUMMYFUNCTION("IMPORTRANGE(""https://docs.google.com/spreadsheets/d/1IYY_tgx_IHuhSq3AJ5eI5OnqOPBNLWSHKh2a30DoXe8/edit?usp=sharing"",""พังงา!J402"")"),0)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IFERROR(__xludf.DUMMYFUNCTION("IMPORTRANGE(""https://docs.google.com/spreadsheets/d/1IYY_tgx_IHuhSq3AJ5eI5OnqOPBNLWSHKh2a30DoXe8/edit?usp=sharing"",""พังงา!I403"")"),0)</f>
        <v>0</v>
      </c>
      <c r="J508" s="166">
        <f ca="1">IFERROR(__xludf.DUMMYFUNCTION("IMPORTRANGE(""https://docs.google.com/spreadsheets/d/1IYY_tgx_IHuhSq3AJ5eI5OnqOPBNLWSHKh2a30DoXe8/edit?usp=sharing"",""พังงา!J403"")"),0)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IFERROR(__xludf.DUMMYFUNCTION("IMPORTRANGE(""https://docs.google.com/spreadsheets/d/1IYY_tgx_IHuhSq3AJ5eI5OnqOPBNLWSHKh2a30DoXe8/edit?usp=sharing"",""พังงา!I404"")"),0)</f>
        <v>0</v>
      </c>
      <c r="J509" s="166">
        <f ca="1">IFERROR(__xludf.DUMMYFUNCTION("IMPORTRANGE(""https://docs.google.com/spreadsheets/d/1IYY_tgx_IHuhSq3AJ5eI5OnqOPBNLWSHKh2a30DoXe8/edit?usp=sharing"",""พังงา!J404"")"),0)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IFERROR(__xludf.DUMMYFUNCTION("IMPORTRANGE(""https://docs.google.com/spreadsheets/d/1IYY_tgx_IHuhSq3AJ5eI5OnqOPBNLWSHKh2a30DoXe8/edit?usp=sharing"",""พังงา!I405"")"),0)</f>
        <v>0</v>
      </c>
      <c r="J510" s="204">
        <f ca="1">IFERROR(__xludf.DUMMYFUNCTION("IMPORTRANGE(""https://docs.google.com/spreadsheets/d/1IYY_tgx_IHuhSq3AJ5eI5OnqOPBNLWSHKh2a30DoXe8/edit?usp=sharing"",""พังงา!J405"")"),0)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IFERROR(__xludf.DUMMYFUNCTION("IMPORTRANGE(""https://docs.google.com/spreadsheets/d/1IYY_tgx_IHuhSq3AJ5eI5OnqOPBNLWSHKh2a30DoXe8/edit?usp=sharing"",""พังงา!I406"")"),0)</f>
        <v>0</v>
      </c>
      <c r="J511" s="204">
        <f ca="1">IFERROR(__xludf.DUMMYFUNCTION("IMPORTRANGE(""https://docs.google.com/spreadsheets/d/1IYY_tgx_IHuhSq3AJ5eI5OnqOPBNLWSHKh2a30DoXe8/edit?usp=sharing"",""พังงา!J406"")"),0)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IFERROR(__xludf.DUMMYFUNCTION("IMPORTRANGE(""https://docs.google.com/spreadsheets/d/1IYY_tgx_IHuhSq3AJ5eI5OnqOPBNLWSHKh2a30DoXe8/edit?usp=sharing"",""พังงา!I407"")"),0)</f>
        <v>0</v>
      </c>
      <c r="J512" s="204">
        <f ca="1">IFERROR(__xludf.DUMMYFUNCTION("IMPORTRANGE(""https://docs.google.com/spreadsheets/d/1IYY_tgx_IHuhSq3AJ5eI5OnqOPBNLWSHKh2a30DoXe8/edit?usp=sharing"",""พังงา!J407"")"),0)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IFERROR(__xludf.DUMMYFUNCTION("IMPORTRANGE(""https://docs.google.com/spreadsheets/d/1IYY_tgx_IHuhSq3AJ5eI5OnqOPBNLWSHKh2a30DoXe8/edit?usp=sharing"",""พังงา!I408"")"),0)</f>
        <v>0</v>
      </c>
      <c r="J513" s="204">
        <f ca="1">IFERROR(__xludf.DUMMYFUNCTION("IMPORTRANGE(""https://docs.google.com/spreadsheets/d/1IYY_tgx_IHuhSq3AJ5eI5OnqOPBNLWSHKh2a30DoXe8/edit?usp=sharing"",""พังงา!J408"")"),0)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IFERROR(__xludf.DUMMYFUNCTION("IMPORTRANGE(""https://docs.google.com/spreadsheets/d/1IYY_tgx_IHuhSq3AJ5eI5OnqOPBNLWSHKh2a30DoXe8/edit?usp=sharing"",""พังงา!I409"")"),0)</f>
        <v>0</v>
      </c>
      <c r="J514" s="204">
        <f ca="1">IFERROR(__xludf.DUMMYFUNCTION("IMPORTRANGE(""https://docs.google.com/spreadsheets/d/1IYY_tgx_IHuhSq3AJ5eI5OnqOPBNLWSHKh2a30DoXe8/edit?usp=sharing"",""พังงา!J409"")"),0)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IFERROR(__xludf.DUMMYFUNCTION("IMPORTRANGE(""https://docs.google.com/spreadsheets/d/1IYY_tgx_IHuhSq3AJ5eI5OnqOPBNLWSHKh2a30DoXe8/edit?usp=sharing"",""พังงา!I410"")"),0)</f>
        <v>0</v>
      </c>
      <c r="J515" s="204">
        <f ca="1">IFERROR(__xludf.DUMMYFUNCTION("IMPORTRANGE(""https://docs.google.com/spreadsheets/d/1IYY_tgx_IHuhSq3AJ5eI5OnqOPBNLWSHKh2a30DoXe8/edit?usp=sharing"",""พังงา!J410"")"),0)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IFERROR(__xludf.DUMMYFUNCTION("IMPORTRANGE(""https://docs.google.com/spreadsheets/d/1IYY_tgx_IHuhSq3AJ5eI5OnqOPBNLWSHKh2a30DoXe8/edit?usp=sharing"",""พังงา!I411"")"),0)</f>
        <v>0</v>
      </c>
      <c r="J516" s="273">
        <f ca="1">IFERROR(__xludf.DUMMYFUNCTION("IMPORTRANGE(""https://docs.google.com/spreadsheets/d/1IYY_tgx_IHuhSq3AJ5eI5OnqOPBNLWSHKh2a30DoXe8/edit?usp=sharing"",""พังงา!J411"")"),0)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IFERROR(__xludf.DUMMYFUNCTION("IMPORTRANGE(""https://docs.google.com/spreadsheets/d/1IYY_tgx_IHuhSq3AJ5eI5OnqOPBNLWSHKh2a30DoXe8/edit?usp=sharing"",""พังงา!I414"")"),0)</f>
        <v>0</v>
      </c>
      <c r="J519" s="194">
        <f ca="1">IFERROR(__xludf.DUMMYFUNCTION("IMPORTRANGE(""https://docs.google.com/spreadsheets/d/1IYY_tgx_IHuhSq3AJ5eI5OnqOPBNLWSHKh2a30DoXe8/edit?usp=sharing"",""พังงา!J414"")"),0)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IFERROR(__xludf.DUMMYFUNCTION("IMPORTRANGE(""https://docs.google.com/spreadsheets/d/1IYY_tgx_IHuhSq3AJ5eI5OnqOPBNLWSHKh2a30DoXe8/edit?usp=sharing"",""พังงา!I415"")"),0)</f>
        <v>0</v>
      </c>
      <c r="J520" s="194">
        <f ca="1">IFERROR(__xludf.DUMMYFUNCTION("IMPORTRANGE(""https://docs.google.com/spreadsheets/d/1IYY_tgx_IHuhSq3AJ5eI5OnqOPBNLWSHKh2a30DoXe8/edit?usp=sharing"",""พังงา!J415"")"),0)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IFERROR(__xludf.DUMMYFUNCTION("IMPORTRANGE(""https://docs.google.com/spreadsheets/d/1IYY_tgx_IHuhSq3AJ5eI5OnqOPBNLWSHKh2a30DoXe8/edit?usp=sharing"",""พังงา!I416"")"),0)</f>
        <v>0</v>
      </c>
      <c r="J521" s="194">
        <f ca="1">IFERROR(__xludf.DUMMYFUNCTION("IMPORTRANGE(""https://docs.google.com/spreadsheets/d/1IYY_tgx_IHuhSq3AJ5eI5OnqOPBNLWSHKh2a30DoXe8/edit?usp=sharing"",""พังงา!J416"")"),0)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IFERROR(__xludf.DUMMYFUNCTION("IMPORTRANGE(""https://docs.google.com/spreadsheets/d/1IYY_tgx_IHuhSq3AJ5eI5OnqOPBNLWSHKh2a30DoXe8/edit?usp=sharing"",""พังงา!I417"")"),0)</f>
        <v>0</v>
      </c>
      <c r="J522" s="194">
        <f ca="1">IFERROR(__xludf.DUMMYFUNCTION("IMPORTRANGE(""https://docs.google.com/spreadsheets/d/1IYY_tgx_IHuhSq3AJ5eI5OnqOPBNLWSHKh2a30DoXe8/edit?usp=sharing"",""พังงา!J417"")"),0)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IFERROR(__xludf.DUMMYFUNCTION("IMPORTRANGE(""https://docs.google.com/spreadsheets/d/1IYY_tgx_IHuhSq3AJ5eI5OnqOPBNLWSHKh2a30DoXe8/edit?usp=sharing"",""พังงา!I418"")"),0)</f>
        <v>0</v>
      </c>
      <c r="J523" s="194">
        <f ca="1">IFERROR(__xludf.DUMMYFUNCTION("IMPORTRANGE(""https://docs.google.com/spreadsheets/d/1IYY_tgx_IHuhSq3AJ5eI5OnqOPBNLWSHKh2a30DoXe8/edit?usp=sharing"",""พังงา!J418"")"),36)</f>
        <v>36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IFERROR(__xludf.DUMMYFUNCTION("IMPORTRANGE(""https://docs.google.com/spreadsheets/d/1IYY_tgx_IHuhSq3AJ5eI5OnqOPBNLWSHKh2a30DoXe8/edit?usp=sharing"",""พังงา!I419"")"),0)</f>
        <v>0</v>
      </c>
      <c r="J524" s="194">
        <f ca="1">IFERROR(__xludf.DUMMYFUNCTION("IMPORTRANGE(""https://docs.google.com/spreadsheets/d/1IYY_tgx_IHuhSq3AJ5eI5OnqOPBNLWSHKh2a30DoXe8/edit?usp=sharing"",""พังงา!J419"")"),4)</f>
        <v>4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IFERROR(__xludf.DUMMYFUNCTION("IMPORTRANGE(""https://docs.google.com/spreadsheets/d/1IYY_tgx_IHuhSq3AJ5eI5OnqOPBNLWSHKh2a30DoXe8/edit?usp=sharing"",""พังงา!J420"")"),36)</f>
        <v>36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IFERROR(__xludf.DUMMYFUNCTION("IMPORTRANGE(""https://docs.google.com/spreadsheets/d/1IYY_tgx_IHuhSq3AJ5eI5OnqOPBNLWSHKh2a30DoXe8/edit?usp=sharing"",""พังงา!J421"")"),4)</f>
        <v>4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IFERROR(__xludf.DUMMYFUNCTION("IMPORTRANGE(""https://docs.google.com/spreadsheets/d/1IYY_tgx_IHuhSq3AJ5eI5OnqOPBNLWSHKh2a30DoXe8/edit?usp=sharing"",""พังงา!I422"")"),0)</f>
        <v>0</v>
      </c>
      <c r="J527" s="204">
        <f ca="1">IFERROR(__xludf.DUMMYFUNCTION("IMPORTRANGE(""https://docs.google.com/spreadsheets/d/1IYY_tgx_IHuhSq3AJ5eI5OnqOPBNLWSHKh2a30DoXe8/edit?usp=sharing"",""พังงา!J422"")"),0)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IFERROR(__xludf.DUMMYFUNCTION("IMPORTRANGE(""https://docs.google.com/spreadsheets/d/1IYY_tgx_IHuhSq3AJ5eI5OnqOPBNLWSHKh2a30DoXe8/edit?usp=sharing"",""พังงา!I423"")"),0)</f>
        <v>0</v>
      </c>
      <c r="J528" s="204">
        <f ca="1">IFERROR(__xludf.DUMMYFUNCTION("IMPORTRANGE(""https://docs.google.com/spreadsheets/d/1IYY_tgx_IHuhSq3AJ5eI5OnqOPBNLWSHKh2a30DoXe8/edit?usp=sharing"",""พังงา!J423"")"),0)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IFERROR(__xludf.DUMMYFUNCTION("IMPORTRANGE(""https://docs.google.com/spreadsheets/d/1IYY_tgx_IHuhSq3AJ5eI5OnqOPBNLWSHKh2a30DoXe8/edit?usp=sharing"",""พังงา!I424"")"),0)</f>
        <v>0</v>
      </c>
      <c r="J529" s="204">
        <f ca="1">IFERROR(__xludf.DUMMYFUNCTION("IMPORTRANGE(""https://docs.google.com/spreadsheets/d/1IYY_tgx_IHuhSq3AJ5eI5OnqOPBNLWSHKh2a30DoXe8/edit?usp=sharing"",""พังงา!J424"")"),22)</f>
        <v>22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IFERROR(__xludf.DUMMYFUNCTION("IMPORTRANGE(""https://docs.google.com/spreadsheets/d/1IYY_tgx_IHuhSq3AJ5eI5OnqOPBNLWSHKh2a30DoXe8/edit?usp=sharing"",""พังงา!I425"")"),0)</f>
        <v>0</v>
      </c>
      <c r="J530" s="204">
        <f ca="1">IFERROR(__xludf.DUMMYFUNCTION("IMPORTRANGE(""https://docs.google.com/spreadsheets/d/1IYY_tgx_IHuhSq3AJ5eI5OnqOPBNLWSHKh2a30DoXe8/edit?usp=sharing"",""พังงา!J425"")"),3)</f>
        <v>3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IFERROR(__xludf.DUMMYFUNCTION("IMPORTRANGE(""https://docs.google.com/spreadsheets/d/1IYY_tgx_IHuhSq3AJ5eI5OnqOPBNLWSHKh2a30DoXe8/edit?usp=sharing"",""พังงา!I426"")"),0)</f>
        <v>0</v>
      </c>
      <c r="J531" s="204">
        <f ca="1">IFERROR(__xludf.DUMMYFUNCTION("IMPORTRANGE(""https://docs.google.com/spreadsheets/d/1IYY_tgx_IHuhSq3AJ5eI5OnqOPBNLWSHKh2a30DoXe8/edit?usp=sharing"",""พังงา!J426"")"),14)</f>
        <v>14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IFERROR(__xludf.DUMMYFUNCTION("IMPORTRANGE(""https://docs.google.com/spreadsheets/d/1IYY_tgx_IHuhSq3AJ5eI5OnqOPBNLWSHKh2a30DoXe8/edit?usp=sharing"",""พังงา!J427"")"),1)</f>
        <v>1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IFERROR(__xludf.DUMMYFUNCTION("IMPORTRANGE(""https://docs.google.com/spreadsheets/d/1IYY_tgx_IHuhSq3AJ5eI5OnqOPBNLWSHKh2a30DoXe8/edit?usp=sharing"",""พังงา!L428"")"),36040)</f>
        <v>36040</v>
      </c>
      <c r="M533" s="418"/>
      <c r="N533" s="418">
        <f ca="1">IFERROR(__xludf.DUMMYFUNCTION("IMPORTRANGE(""https://docs.google.com/spreadsheets/d/1IYY_tgx_IHuhSq3AJ5eI5OnqOPBNLWSHKh2a30DoXe8/edit?usp=sharing"",""พังงา!M428"")"),29500)</f>
        <v>29500</v>
      </c>
      <c r="O533" s="418">
        <f t="shared" ref="O533:O537" ca="1" si="118">+IF(L533&gt;0,N533*100/L533,0)</f>
        <v>81.853496115427305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IFERROR(__xludf.DUMMYFUNCTION("IMPORTRANGE(""https://docs.google.com/spreadsheets/d/1IYY_tgx_IHuhSq3AJ5eI5OnqOPBNLWSHKh2a30DoXe8/edit?usp=sharing"",""พังงา!L429"")"),0)</f>
        <v>0</v>
      </c>
      <c r="M534" s="168"/>
      <c r="N534" s="175">
        <f ca="1">IFERROR(__xludf.DUMMYFUNCTION("IMPORTRANGE(""https://docs.google.com/spreadsheets/d/1IYY_tgx_IHuhSq3AJ5eI5OnqOPBNLWSHKh2a30DoXe8/edit?usp=sharing"",""พังงา!M429"")"),0)</f>
        <v>0</v>
      </c>
      <c r="O534" s="175">
        <f t="shared" ca="1" si="118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IFERROR(__xludf.DUMMYFUNCTION("IMPORTRANGE(""https://docs.google.com/spreadsheets/d/1IYY_tgx_IHuhSq3AJ5eI5OnqOPBNLWSHKh2a30DoXe8/edit?usp=sharing"",""พังงา!L430"")"),36040)</f>
        <v>36040</v>
      </c>
      <c r="M535" s="169"/>
      <c r="N535" s="175">
        <f ca="1">IFERROR(__xludf.DUMMYFUNCTION("IMPORTRANGE(""https://docs.google.com/spreadsheets/d/1IYY_tgx_IHuhSq3AJ5eI5OnqOPBNLWSHKh2a30DoXe8/edit?usp=sharing"",""พังงา!M430"")"),29500)</f>
        <v>29500</v>
      </c>
      <c r="O535" s="175">
        <f t="shared" ca="1" si="118"/>
        <v>81.853496115427305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IFERROR(__xludf.DUMMYFUNCTION("IMPORTRANGE(""https://docs.google.com/spreadsheets/d/1IYY_tgx_IHuhSq3AJ5eI5OnqOPBNLWSHKh2a30DoXe8/edit?usp=sharing"",""พังงา!L431"")"),0)</f>
        <v>0</v>
      </c>
      <c r="M536" s="175"/>
      <c r="N536" s="175">
        <f ca="1">IFERROR(__xludf.DUMMYFUNCTION("IMPORTRANGE(""https://docs.google.com/spreadsheets/d/1IYY_tgx_IHuhSq3AJ5eI5OnqOPBNLWSHKh2a30DoXe8/edit?usp=sharing"",""พังงา!M431"")"),0)</f>
        <v>0</v>
      </c>
      <c r="O536" s="175">
        <f t="shared" ca="1" si="118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IFERROR(__xludf.DUMMYFUNCTION("IMPORTRANGE(""https://docs.google.com/spreadsheets/d/1IYY_tgx_IHuhSq3AJ5eI5OnqOPBNLWSHKh2a30DoXe8/edit?usp=sharing"",""พังงา!L432"")"),36040)</f>
        <v>36040</v>
      </c>
      <c r="M537" s="175"/>
      <c r="N537" s="175">
        <f ca="1">IFERROR(__xludf.DUMMYFUNCTION("IMPORTRANGE(""https://docs.google.com/spreadsheets/d/1IYY_tgx_IHuhSq3AJ5eI5OnqOPBNLWSHKh2a30DoXe8/edit?usp=sharing"",""พังงา!M432"")"),29500)</f>
        <v>29500</v>
      </c>
      <c r="O537" s="175">
        <f t="shared" ca="1" si="118"/>
        <v>81.853496115427305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IFERROR(__xludf.DUMMYFUNCTION("IMPORTRANGE(""https://docs.google.com/spreadsheets/d/1IYY_tgx_IHuhSq3AJ5eI5OnqOPBNLWSHKh2a30DoXe8/edit?usp=sharing"",""พังงา!M433"")"),19640)</f>
        <v>19640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IFERROR(__xludf.DUMMYFUNCTION("IMPORTRANGE(""https://docs.google.com/spreadsheets/d/1IYY_tgx_IHuhSq3AJ5eI5OnqOPBNLWSHKh2a30DoXe8/edit?usp=sharing"",""พังงา!M436"")"),9860)</f>
        <v>9860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IFERROR(__xludf.DUMMYFUNCTION("IMPORTRANGE(""https://docs.google.com/spreadsheets/d/1IYY_tgx_IHuhSq3AJ5eI5OnqOPBNLWSHKh2a30DoXe8/edit?usp=sharing"",""พังงา!J438"")"),0)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IFERROR(__xludf.DUMMYFUNCTION("IMPORTRANGE(""https://docs.google.com/spreadsheets/d/1IYY_tgx_IHuhSq3AJ5eI5OnqOPBNLWSHKh2a30DoXe8/edit?usp=sharing"",""พังงา!J439"")"),1)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IFERROR(__xludf.DUMMYFUNCTION("IMPORTRANGE(""https://docs.google.com/spreadsheets/d/1IYY_tgx_IHuhSq3AJ5eI5OnqOPBNLWSHKh2a30DoXe8/edit?usp=sharing"",""พังงา!J440"")"),1)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IFERROR(__xludf.DUMMYFUNCTION("IMPORTRANGE(""https://docs.google.com/spreadsheets/d/1IYY_tgx_IHuhSq3AJ5eI5OnqOPBNLWSHKh2a30DoXe8/edit?usp=sharing"",""พังงา!J441"")"),1)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IFERROR(__xludf.DUMMYFUNCTION("IMPORTRANGE(""https://docs.google.com/spreadsheets/d/1IYY_tgx_IHuhSq3AJ5eI5OnqOPBNLWSHKh2a30DoXe8/edit?usp=sharing"",""พังงา!I442"")"),24)</f>
        <v>24</v>
      </c>
      <c r="J547" s="195">
        <f ca="1">IFERROR(__xludf.DUMMYFUNCTION("IMPORTRANGE(""https://docs.google.com/spreadsheets/d/1IYY_tgx_IHuhSq3AJ5eI5OnqOPBNLWSHKh2a30DoXe8/edit?usp=sharing"",""พังงา!J442"")"),24)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IFERROR(__xludf.DUMMYFUNCTION("IMPORTRANGE(""https://docs.google.com/spreadsheets/d/1IYY_tgx_IHuhSq3AJ5eI5OnqOPBNLWSHKh2a30DoXe8/edit?usp=sharing"",""พังงา!J166"")"),0)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IFERROR(__xludf.DUMMYFUNCTION("IMPORTRANGE(""https://docs.google.com/spreadsheets/d/1IYY_tgx_IHuhSq3AJ5eI5OnqOPBNLWSHKh2a30DoXe8/edit?usp=sharing"",""พังงา!J444"")"),0)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IFERROR(__xludf.DUMMYFUNCTION("IMPORTRANGE(""https://docs.google.com/spreadsheets/d/1IYY_tgx_IHuhSq3AJ5eI5OnqOPBNLWSHKh2a30DoXe8/edit?usp=sharing"",""พังงา!L447"")"),0)</f>
        <v>0</v>
      </c>
      <c r="M552" s="168"/>
      <c r="N552" s="175">
        <f ca="1">IFERROR(__xludf.DUMMYFUNCTION("IMPORTRANGE(""https://docs.google.com/spreadsheets/d/1IYY_tgx_IHuhSq3AJ5eI5OnqOPBNLWSHKh2a30DoXe8/edit?usp=sharing"",""พังงา!M447"")"),0)</f>
        <v>0</v>
      </c>
      <c r="O552" s="175">
        <f t="shared" ca="1" si="120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5">
        <f ca="1">IFERROR(__xludf.DUMMYFUNCTION("IMPORTRANGE(""https://docs.google.com/spreadsheets/d/1IYY_tgx_IHuhSq3AJ5eI5OnqOPBNLWSHKh2a30DoXe8/edit?usp=sharing"",""พังงา!M448"")"),0)</f>
        <v>0</v>
      </c>
      <c r="O553" s="175">
        <f t="shared" ca="1" si="120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IFERROR(__xludf.DUMMYFUNCTION("IMPORTRANGE(""https://docs.google.com/spreadsheets/d/1IYY_tgx_IHuhSq3AJ5eI5OnqOPBNLWSHKh2a30DoXe8/edit?usp=sharing"",""พังงา!L449"")"),0)</f>
        <v>0</v>
      </c>
      <c r="M554" s="175"/>
      <c r="N554" s="175">
        <f ca="1">IFERROR(__xludf.DUMMYFUNCTION("IMPORTRANGE(""https://docs.google.com/spreadsheets/d/1IYY_tgx_IHuhSq3AJ5eI5OnqOPBNLWSHKh2a30DoXe8/edit?usp=sharing"",""พังงา!M449"")"),0)</f>
        <v>0</v>
      </c>
      <c r="O554" s="175">
        <f t="shared" ca="1" si="120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IFERROR(__xludf.DUMMYFUNCTION("IMPORTRANGE(""https://docs.google.com/spreadsheets/d/1IYY_tgx_IHuhSq3AJ5eI5OnqOPBNLWSHKh2a30DoXe8/edit?usp=sharing"",""พังงา!L450"")"),0)</f>
        <v>0</v>
      </c>
      <c r="M555" s="175"/>
      <c r="N555" s="175">
        <f ca="1">IFERROR(__xludf.DUMMYFUNCTION("IMPORTRANGE(""https://docs.google.com/spreadsheets/d/1IYY_tgx_IHuhSq3AJ5eI5OnqOPBNLWSHKh2a30DoXe8/edit?usp=sharing"",""พังงา!M450"")"),0)</f>
        <v>0</v>
      </c>
      <c r="O555" s="175">
        <f t="shared" ca="1" si="120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IFERROR(__xludf.DUMMYFUNCTION("IMPORTRANGE(""https://docs.google.com/spreadsheets/d/1IYY_tgx_IHuhSq3AJ5eI5OnqOPBNLWSHKh2a30DoXe8/edit?usp=sharing"",""พังงา!M451"")"),0)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IFERROR(__xludf.DUMMYFUNCTION("IMPORTRANGE(""https://docs.google.com/spreadsheets/d/1IYY_tgx_IHuhSq3AJ5eI5OnqOPBNLWSHKh2a30DoXe8/edit?usp=sharing"",""พังงา!M452"")"),0)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IFERROR(__xludf.DUMMYFUNCTION("IMPORTRANGE(""https://docs.google.com/spreadsheets/d/1IYY_tgx_IHuhSq3AJ5eI5OnqOPBNLWSHKh2a30DoXe8/edit?usp=sharing"",""พังงา!M453"")"),0)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IFERROR(__xludf.DUMMYFUNCTION("IMPORTRANGE(""https://docs.google.com/spreadsheets/d/1IYY_tgx_IHuhSq3AJ5eI5OnqOPBNLWSHKh2a30DoXe8/edit?usp=sharing"",""พังงา!M454"")"),0)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IFERROR(__xludf.DUMMYFUNCTION("IMPORTRANGE(""https://docs.google.com/spreadsheets/d/1IYY_tgx_IHuhSq3AJ5eI5OnqOPBNLWSHKh2a30DoXe8/edit?usp=sharing"",""พังงา!I455"")"),0)</f>
        <v>0</v>
      </c>
      <c r="J560" s="166">
        <f ca="1">IFERROR(__xludf.DUMMYFUNCTION("IMPORTRANGE(""https://docs.google.com/spreadsheets/d/1IYY_tgx_IHuhSq3AJ5eI5OnqOPBNLWSHKh2a30DoXe8/edit?usp=sharing"",""พังงา!J455"")"),0)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IFERROR(__xludf.DUMMYFUNCTION("IMPORTRANGE(""https://docs.google.com/spreadsheets/d/1IYY_tgx_IHuhSq3AJ5eI5OnqOPBNLWSHKh2a30DoXe8/edit?usp=sharing"",""พังงา!I456"")"),0)</f>
        <v>0</v>
      </c>
      <c r="J561" s="210">
        <f ca="1">IFERROR(__xludf.DUMMYFUNCTION("IMPORTRANGE(""https://docs.google.com/spreadsheets/d/1IYY_tgx_IHuhSq3AJ5eI5OnqOPBNLWSHKh2a30DoXe8/edit?usp=sharing"",""พังงา!J456"")"),0)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IFERROR(__xludf.DUMMYFUNCTION("IMPORTRANGE(""https://docs.google.com/spreadsheets/d/1IYY_tgx_IHuhSq3AJ5eI5OnqOPBNLWSHKh2a30DoXe8/edit?usp=sharing"",""พังงา!J459"")"),917)</f>
        <v>917</v>
      </c>
      <c r="K564" s="378">
        <f ca="1">IF(I564&gt;0,J564*100/I564,0)</f>
        <v>229.25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IFERROR(__xludf.DUMMYFUNCTION("IMPORTRANGE(""https://docs.google.com/spreadsheets/d/1IYY_tgx_IHuhSq3AJ5eI5OnqOPBNLWSHKh2a30DoXe8/edit?usp=sharing"",""พังงา!M459"")"),79034)</f>
        <v>79034</v>
      </c>
      <c r="O564" s="379">
        <f t="shared" ref="O564:O568" ca="1" si="122">+IF(L564&gt;0,N564*100/L564,0)</f>
        <v>62.290353089533419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IFERROR(__xludf.DUMMYFUNCTION("IMPORTRANGE(""https://docs.google.com/spreadsheets/d/1IYY_tgx_IHuhSq3AJ5eI5OnqOPBNLWSHKh2a30DoXe8/edit?usp=sharing"",""พังงา!L460"")"),0)</f>
        <v>0</v>
      </c>
      <c r="M565" s="168"/>
      <c r="N565" s="175">
        <f ca="1">IFERROR(__xludf.DUMMYFUNCTION("IMPORTRANGE(""https://docs.google.com/spreadsheets/d/1IYY_tgx_IHuhSq3AJ5eI5OnqOPBNLWSHKh2a30DoXe8/edit?usp=sharing"",""พังงา!M460"")"),0)</f>
        <v>0</v>
      </c>
      <c r="O565" s="175">
        <f t="shared" ca="1" si="122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5">
        <f ca="1">IFERROR(__xludf.DUMMYFUNCTION("IMPORTRANGE(""https://docs.google.com/spreadsheets/d/1IYY_tgx_IHuhSq3AJ5eI5OnqOPBNLWSHKh2a30DoXe8/edit?usp=sharing"",""พังงา!M461"")"),79034)</f>
        <v>79034</v>
      </c>
      <c r="O566" s="175">
        <f t="shared" ca="1" si="122"/>
        <v>62.290353089533419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IFERROR(__xludf.DUMMYFUNCTION("IMPORTRANGE(""https://docs.google.com/spreadsheets/d/1IYY_tgx_IHuhSq3AJ5eI5OnqOPBNLWSHKh2a30DoXe8/edit?usp=sharing"",""พังงา!L462"")"),0)</f>
        <v>0</v>
      </c>
      <c r="M567" s="175"/>
      <c r="N567" s="175">
        <f ca="1">IFERROR(__xludf.DUMMYFUNCTION("IMPORTRANGE(""https://docs.google.com/spreadsheets/d/1IYY_tgx_IHuhSq3AJ5eI5OnqOPBNLWSHKh2a30DoXe8/edit?usp=sharing"",""พังงา!M462"")"),0)</f>
        <v>0</v>
      </c>
      <c r="O567" s="175">
        <f t="shared" ca="1" si="122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IFERROR(__xludf.DUMMYFUNCTION("IMPORTRANGE(""https://docs.google.com/spreadsheets/d/1IYY_tgx_IHuhSq3AJ5eI5OnqOPBNLWSHKh2a30DoXe8/edit?usp=sharing"",""พังงา!L463"")"),126880)</f>
        <v>126880</v>
      </c>
      <c r="M568" s="175"/>
      <c r="N568" s="175">
        <f ca="1">IFERROR(__xludf.DUMMYFUNCTION("IMPORTRANGE(""https://docs.google.com/spreadsheets/d/1IYY_tgx_IHuhSq3AJ5eI5OnqOPBNLWSHKh2a30DoXe8/edit?usp=sharing"",""พังงา!M463"")"),79034)</f>
        <v>79034</v>
      </c>
      <c r="O568" s="175">
        <f t="shared" ca="1" si="122"/>
        <v>62.290353089533419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IFERROR(__xludf.DUMMYFUNCTION("IMPORTRANGE(""https://docs.google.com/spreadsheets/d/1IYY_tgx_IHuhSq3AJ5eI5OnqOPBNLWSHKh2a30DoXe8/edit?usp=sharing"",""พังงา!M464"")"),0)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IFERROR(__xludf.DUMMYFUNCTION("IMPORTRANGE(""https://docs.google.com/spreadsheets/d/1IYY_tgx_IHuhSq3AJ5eI5OnqOPBNLWSHKh2a30DoXe8/edit?usp=sharing"",""พังงา!M465"")"),0)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IFERROR(__xludf.DUMMYFUNCTION("IMPORTRANGE(""https://docs.google.com/spreadsheets/d/1IYY_tgx_IHuhSq3AJ5eI5OnqOPBNLWSHKh2a30DoXe8/edit?usp=sharing"",""พังงา!M466"")"),76634)</f>
        <v>76634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IFERROR(__xludf.DUMMYFUNCTION("IMPORTRANGE(""https://docs.google.com/spreadsheets/d/1IYY_tgx_IHuhSq3AJ5eI5OnqOPBNLWSHKh2a30DoXe8/edit?usp=sharing"",""พังงา!M467"")"),2400)</f>
        <v>2400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IFERROR(__xludf.DUMMYFUNCTION("IMPORTRANGE(""https://docs.google.com/spreadsheets/d/1IYY_tgx_IHuhSq3AJ5eI5OnqOPBNLWSHKh2a30DoXe8/edit?usp=sharing"",""พังงา!J468"")"),917)</f>
        <v>917</v>
      </c>
      <c r="K573" s="208">
        <f ca="1">IF(I573&gt;0,J573*100/I573,0)</f>
        <v>229.25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IFERROR(__xludf.DUMMYFUNCTION("IMPORTRANGE(""https://docs.google.com/spreadsheets/d/1IYY_tgx_IHuhSq3AJ5eI5OnqOPBNLWSHKh2a30DoXe8/edit?usp=sharing"",""พังงา!I470"")"),0)</f>
        <v>0</v>
      </c>
      <c r="J575" s="204">
        <f ca="1">IFERROR(__xludf.DUMMYFUNCTION("IMPORTRANGE(""https://docs.google.com/spreadsheets/d/1IYY_tgx_IHuhSq3AJ5eI5OnqOPBNLWSHKh2a30DoXe8/edit?usp=sharing"",""พังงา!J470"")"),4)</f>
        <v>4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IFERROR(__xludf.DUMMYFUNCTION("IMPORTRANGE(""https://docs.google.com/spreadsheets/d/1IYY_tgx_IHuhSq3AJ5eI5OnqOPBNLWSHKh2a30DoXe8/edit?usp=sharing"",""พังงา!I471"")"),0)</f>
        <v>0</v>
      </c>
      <c r="J576" s="204">
        <f ca="1">IFERROR(__xludf.DUMMYFUNCTION("IMPORTRANGE(""https://docs.google.com/spreadsheets/d/1IYY_tgx_IHuhSq3AJ5eI5OnqOPBNLWSHKh2a30DoXe8/edit?usp=sharing"",""พังงา!J471"")"),146)</f>
        <v>146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IFERROR(__xludf.DUMMYFUNCTION("IMPORTRANGE(""https://docs.google.com/spreadsheets/d/1IYY_tgx_IHuhSq3AJ5eI5OnqOPBNLWSHKh2a30DoXe8/edit?usp=sharing"",""พังงา!I472"")"),0)</f>
        <v>0</v>
      </c>
      <c r="J577" s="195">
        <f ca="1">IFERROR(__xludf.DUMMYFUNCTION("IMPORTRANGE(""https://docs.google.com/spreadsheets/d/1IYY_tgx_IHuhSq3AJ5eI5OnqOPBNLWSHKh2a30DoXe8/edit?usp=sharing"",""พังงา!J472"")"),771)</f>
        <v>771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IFERROR(__xludf.DUMMYFUNCTION("IMPORTRANGE(""https://docs.google.com/spreadsheets/d/1IYY_tgx_IHuhSq3AJ5eI5OnqOPBNLWSHKh2a30DoXe8/edit?usp=sharing"",""พังงา!I473"")"),0)</f>
        <v>0</v>
      </c>
      <c r="J578" s="204">
        <f ca="1">IFERROR(__xludf.DUMMYFUNCTION("IMPORTRANGE(""https://docs.google.com/spreadsheets/d/1IYY_tgx_IHuhSq3AJ5eI5OnqOPBNLWSHKh2a30DoXe8/edit?usp=sharing"",""พังงา!J473"")"),0)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IFERROR(__xludf.DUMMYFUNCTION("IMPORTRANGE(""https://docs.google.com/spreadsheets/d/1IYY_tgx_IHuhSq3AJ5eI5OnqOPBNLWSHKh2a30DoXe8/edit?usp=sharing"",""พังงา!I474"")"),0)</f>
        <v>0</v>
      </c>
      <c r="J579" s="204">
        <f ca="1">IFERROR(__xludf.DUMMYFUNCTION("IMPORTRANGE(""https://docs.google.com/spreadsheets/d/1IYY_tgx_IHuhSq3AJ5eI5OnqOPBNLWSHKh2a30DoXe8/edit?usp=sharing"",""พังงา!J474"")"),0)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IFERROR(__xludf.DUMMYFUNCTION("IMPORTRANGE(""https://docs.google.com/spreadsheets/d/1IYY_tgx_IHuhSq3AJ5eI5OnqOPBNLWSHKh2a30DoXe8/edit?usp=sharing"",""พังงา!L476"")"),0)</f>
        <v>0</v>
      </c>
      <c r="M581" s="168"/>
      <c r="N581" s="175">
        <f ca="1">IFERROR(__xludf.DUMMYFUNCTION("IMPORTRANGE(""https://docs.google.com/spreadsheets/d/1IYY_tgx_IHuhSq3AJ5eI5OnqOPBNLWSHKh2a30DoXe8/edit?usp=sharing"",""พังงา!M476"")"),0)</f>
        <v>0</v>
      </c>
      <c r="O581" s="175">
        <f t="shared" ca="1" si="124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5">
        <f ca="1">IFERROR(__xludf.DUMMYFUNCTION("IMPORTRANGE(""https://docs.google.com/spreadsheets/d/1IYY_tgx_IHuhSq3AJ5eI5OnqOPBNLWSHKh2a30DoXe8/edit?usp=sharing"",""พังงา!M477"")"),0)</f>
        <v>0</v>
      </c>
      <c r="O582" s="175">
        <f t="shared" ca="1" si="124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IFERROR(__xludf.DUMMYFUNCTION("IMPORTRANGE(""https://docs.google.com/spreadsheets/d/1IYY_tgx_IHuhSq3AJ5eI5OnqOPBNLWSHKh2a30DoXe8/edit?usp=sharing"",""พังงา!L478"")"),0)</f>
        <v>0</v>
      </c>
      <c r="M583" s="175"/>
      <c r="N583" s="175">
        <f ca="1">IFERROR(__xludf.DUMMYFUNCTION("IMPORTRANGE(""https://docs.google.com/spreadsheets/d/1IYY_tgx_IHuhSq3AJ5eI5OnqOPBNLWSHKh2a30DoXe8/edit?usp=sharing"",""พังงา!M478"")"),0)</f>
        <v>0</v>
      </c>
      <c r="O583" s="175">
        <f t="shared" ca="1" si="124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IFERROR(__xludf.DUMMYFUNCTION("IMPORTRANGE(""https://docs.google.com/spreadsheets/d/1IYY_tgx_IHuhSq3AJ5eI5OnqOPBNLWSHKh2a30DoXe8/edit?usp=sharing"",""พังงา!L479"")"),0)</f>
        <v>0</v>
      </c>
      <c r="M584" s="175"/>
      <c r="N584" s="175">
        <f ca="1">IFERROR(__xludf.DUMMYFUNCTION("IMPORTRANGE(""https://docs.google.com/spreadsheets/d/1IYY_tgx_IHuhSq3AJ5eI5OnqOPBNLWSHKh2a30DoXe8/edit?usp=sharing"",""พังงา!M479"")"),0)</f>
        <v>0</v>
      </c>
      <c r="O584" s="175">
        <f t="shared" ca="1" si="124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IFERROR(__xludf.DUMMYFUNCTION("IMPORTRANGE(""https://docs.google.com/spreadsheets/d/1IYY_tgx_IHuhSq3AJ5eI5OnqOPBNLWSHKh2a30DoXe8/edit?usp=sharing"",""พังงา!M480"")"),0)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IFERROR(__xludf.DUMMYFUNCTION("IMPORTRANGE(""https://docs.google.com/spreadsheets/d/1IYY_tgx_IHuhSq3AJ5eI5OnqOPBNLWSHKh2a30DoXe8/edit?usp=sharing"",""พังงา!M481"")"),0)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IFERROR(__xludf.DUMMYFUNCTION("IMPORTRANGE(""https://docs.google.com/spreadsheets/d/1IYY_tgx_IHuhSq3AJ5eI5OnqOPBNLWSHKh2a30DoXe8/edit?usp=sharing"",""พังงา!M482"")"),0)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IFERROR(__xludf.DUMMYFUNCTION("IMPORTRANGE(""https://docs.google.com/spreadsheets/d/1IYY_tgx_IHuhSq3AJ5eI5OnqOPBNLWSHKh2a30DoXe8/edit?usp=sharing"",""พังงา!M483"")"),0)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4">
        <f ca="1">IFERROR(__xludf.DUMMYFUNCTION("IMPORTRANGE(""https://docs.google.com/spreadsheets/d/1IYY_tgx_IHuhSq3AJ5eI5OnqOPBNLWSHKh2a30DoXe8/edit?usp=sharing"",""พังงา!J484"")"),0)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4">
        <f ca="1">IFERROR(__xludf.DUMMYFUNCTION("IMPORTRANGE(""https://docs.google.com/spreadsheets/d/1IYY_tgx_IHuhSq3AJ5eI5OnqOPBNLWSHKh2a30DoXe8/edit?usp=sharing"",""พังงา!J485"")"),0)</f>
        <v>0</v>
      </c>
      <c r="K590" s="486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4">
        <f ca="1">IFERROR(__xludf.DUMMYFUNCTION("IMPORTRANGE(""https://docs.google.com/spreadsheets/d/1IYY_tgx_IHuhSq3AJ5eI5OnqOPBNLWSHKh2a30DoXe8/edit?usp=sharing"",""พังงา!J486"")"),0)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4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4">
        <f ca="1">IFERROR(__xludf.DUMMYFUNCTION("IMPORTRANGE(""https://docs.google.com/spreadsheets/d/1IYY_tgx_IHuhSq3AJ5eI5OnqOPBNLWSHKh2a30DoXe8/edit?usp=sharing"",""พังงา!J488"")"),0)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4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4">
        <f ca="1">IFERROR(__xludf.DUMMYFUNCTION("IMPORTRANGE(""https://docs.google.com/spreadsheets/d/1IYY_tgx_IHuhSq3AJ5eI5OnqOPBNLWSHKh2a30DoXe8/edit?usp=sharing"",""พังงา!J490"")"),0)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IFERROR(__xludf.DUMMYFUNCTION("IMPORTRANGE(""https://docs.google.com/spreadsheets/d/1IYY_tgx_IHuhSq3AJ5eI5OnqOPBNLWSHKh2a30DoXe8/edit?usp=sharing"",""พังงา!I491"")"),0)</f>
        <v>0</v>
      </c>
      <c r="J596" s="247">
        <f ca="1">IFERROR(__xludf.DUMMYFUNCTION("IMPORTRANGE(""https://docs.google.com/spreadsheets/d/1IYY_tgx_IHuhSq3AJ5eI5OnqOPBNLWSHKh2a30DoXe8/edit?usp=sharing"",""พังงา!J491"")"),0)</f>
        <v>0</v>
      </c>
      <c r="K596" s="493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4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IFERROR(__xludf.DUMMYFUNCTION("IMPORTRANGE(""https://docs.google.com/spreadsheets/d/1IYY_tgx_IHuhSq3AJ5eI5OnqOPBNLWSHKh2a30DoXe8/edit?usp=sharing"",""พังงา!L492"")"),5350)</f>
        <v>5350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35.887850467289717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IFERROR(__xludf.DUMMYFUNCTION("IMPORTRANGE(""https://docs.google.com/spreadsheets/d/1IYY_tgx_IHuhSq3AJ5eI5OnqOPBNLWSHKh2a30DoXe8/edit?usp=sharing"",""พังงา!L493"")"),0)</f>
        <v>0</v>
      </c>
      <c r="M598" s="168"/>
      <c r="N598" s="175">
        <f ca="1">IFERROR(__xludf.DUMMYFUNCTION("IMPORTRANGE(""https://docs.google.com/spreadsheets/d/1IYY_tgx_IHuhSq3AJ5eI5OnqOPBNLWSHKh2a30DoXe8/edit?usp=sharing"",""พังงา!M493"")"),0)</f>
        <v>0</v>
      </c>
      <c r="O598" s="175">
        <f t="shared" ca="1" si="126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IFERROR(__xludf.DUMMYFUNCTION("IMPORTRANGE(""https://docs.google.com/spreadsheets/d/1IYY_tgx_IHuhSq3AJ5eI5OnqOPBNLWSHKh2a30DoXe8/edit?usp=sharing"",""พังงา!L494"")"),5350)</f>
        <v>5350</v>
      </c>
      <c r="M599" s="169"/>
      <c r="N599" s="175">
        <f ca="1">IFERROR(__xludf.DUMMYFUNCTION("IMPORTRANGE(""https://docs.google.com/spreadsheets/d/1IYY_tgx_IHuhSq3AJ5eI5OnqOPBNLWSHKh2a30DoXe8/edit?usp=sharing"",""พังงา!M494"")"),1920)</f>
        <v>1920</v>
      </c>
      <c r="O599" s="175">
        <f t="shared" ca="1" si="126"/>
        <v>35.887850467289717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IFERROR(__xludf.DUMMYFUNCTION("IMPORTRANGE(""https://docs.google.com/spreadsheets/d/1IYY_tgx_IHuhSq3AJ5eI5OnqOPBNLWSHKh2a30DoXe8/edit?usp=sharing"",""พังงา!L495"")"),0)</f>
        <v>0</v>
      </c>
      <c r="M600" s="175"/>
      <c r="N600" s="175">
        <f ca="1">IFERROR(__xludf.DUMMYFUNCTION("IMPORTRANGE(""https://docs.google.com/spreadsheets/d/1IYY_tgx_IHuhSq3AJ5eI5OnqOPBNLWSHKh2a30DoXe8/edit?usp=sharing"",""พังงา!M495"")"),0)</f>
        <v>0</v>
      </c>
      <c r="O600" s="175">
        <f t="shared" ca="1" si="126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IFERROR(__xludf.DUMMYFUNCTION("IMPORTRANGE(""https://docs.google.com/spreadsheets/d/1IYY_tgx_IHuhSq3AJ5eI5OnqOPBNLWSHKh2a30DoXe8/edit?usp=sharing"",""พังงา!L496"")"),5350)</f>
        <v>5350</v>
      </c>
      <c r="M601" s="175"/>
      <c r="N601" s="175">
        <f ca="1">IFERROR(__xludf.DUMMYFUNCTION("IMPORTRANGE(""https://docs.google.com/spreadsheets/d/1IYY_tgx_IHuhSq3AJ5eI5OnqOPBNLWSHKh2a30DoXe8/edit?usp=sharing"",""พังงา!M496"")"),1920)</f>
        <v>1920</v>
      </c>
      <c r="O601" s="175">
        <f t="shared" ca="1" si="126"/>
        <v>35.887850467289717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IFERROR(__xludf.DUMMYFUNCTION("IMPORTRANGE(""https://docs.google.com/spreadsheets/d/1IYY_tgx_IHuhSq3AJ5eI5OnqOPBNLWSHKh2a30DoXe8/edit?usp=sharing"",""พังงา!M497"")"),0)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IFERROR(__xludf.DUMMYFUNCTION("IMPORTRANGE(""https://docs.google.com/spreadsheets/d/1IYY_tgx_IHuhSq3AJ5eI5OnqOPBNLWSHKh2a30DoXe8/edit?usp=sharing"",""พังงา!M498"")"),0)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IFERROR(__xludf.DUMMYFUNCTION("IMPORTRANGE(""https://docs.google.com/spreadsheets/d/1IYY_tgx_IHuhSq3AJ5eI5OnqOPBNLWSHKh2a30DoXe8/edit?usp=sharing"",""พังงา!J502"")"),0)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IFERROR(__xludf.DUMMYFUNCTION("IMPORTRANGE(""https://docs.google.com/spreadsheets/d/1IYY_tgx_IHuhSq3AJ5eI5OnqOPBNLWSHKh2a30DoXe8/edit?usp=sharing"",""พังงา!J503"")"),1)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IFERROR(__xludf.DUMMYFUNCTION("IMPORTRANGE(""https://docs.google.com/spreadsheets/d/1IYY_tgx_IHuhSq3AJ5eI5OnqOPBNLWSHKh2a30DoXe8/edit?usp=sharing"",""พังงา!J166"")"),0)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IFERROR(__xludf.DUMMYFUNCTION("IMPORTRANGE(""https://docs.google.com/spreadsheets/d/1IYY_tgx_IHuhSq3AJ5eI5OnqOPBNLWSHKh2a30DoXe8/edit?usp=sharing"",""พังงา!J166"")"),0)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IFERROR(__xludf.DUMMYFUNCTION("IMPORTRANGE(""https://docs.google.com/spreadsheets/d/1IYY_tgx_IHuhSq3AJ5eI5OnqOPBNLWSHKh2a30DoXe8/edit?usp=sharing"",""พังงา!I506"")"),50)</f>
        <v>50</v>
      </c>
      <c r="J611" s="166">
        <f ca="1">IFERROR(__xludf.DUMMYFUNCTION("IMPORTRANGE(""https://docs.google.com/spreadsheets/d/1IYY_tgx_IHuhSq3AJ5eI5OnqOPBNLWSHKh2a30DoXe8/edit?usp=sharing"",""พังงา!J506"")"),0)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IFERROR(__xludf.DUMMYFUNCTION("IMPORTRANGE(""https://docs.google.com/spreadsheets/d/1IYY_tgx_IHuhSq3AJ5eI5OnqOPBNLWSHKh2a30DoXe8/edit?usp=sharing"",""พังงา!I507"")"),0)</f>
        <v>0</v>
      </c>
      <c r="J612" s="204">
        <f ca="1">IFERROR(__xludf.DUMMYFUNCTION("IMPORTRANGE(""https://docs.google.com/spreadsheets/d/1IYY_tgx_IHuhSq3AJ5eI5OnqOPBNLWSHKh2a30DoXe8/edit?usp=sharing"",""พังงา!J507"")"),0)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IFERROR(__xludf.DUMMYFUNCTION("IMPORTRANGE(""https://docs.google.com/spreadsheets/d/1IYY_tgx_IHuhSq3AJ5eI5OnqOPBNLWSHKh2a30DoXe8/edit?usp=sharing"",""พังงา!I508"")"),0)</f>
        <v>0</v>
      </c>
      <c r="J613" s="204">
        <f ca="1">IFERROR(__xludf.DUMMYFUNCTION("IMPORTRANGE(""https://docs.google.com/spreadsheets/d/1IYY_tgx_IHuhSq3AJ5eI5OnqOPBNLWSHKh2a30DoXe8/edit?usp=sharing"",""พังงา!J508"")"),0)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IFERROR(__xludf.DUMMYFUNCTION("IMPORTRANGE(""https://docs.google.com/spreadsheets/d/1IYY_tgx_IHuhSq3AJ5eI5OnqOPBNLWSHKh2a30DoXe8/edit?usp=sharing"",""พังงา!I509"")"),0)</f>
        <v>0</v>
      </c>
      <c r="J614" s="204">
        <f ca="1">IFERROR(__xludf.DUMMYFUNCTION("IMPORTRANGE(""https://docs.google.com/spreadsheets/d/1IYY_tgx_IHuhSq3AJ5eI5OnqOPBNLWSHKh2a30DoXe8/edit?usp=sharing"",""พังงา!J509"")"),0)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IFERROR(__xludf.DUMMYFUNCTION("IMPORTRANGE(""https://docs.google.com/spreadsheets/d/1IYY_tgx_IHuhSq3AJ5eI5OnqOPBNLWSHKh2a30DoXe8/edit?usp=sharing"",""พังงา!I510"")"),0)</f>
        <v>0</v>
      </c>
      <c r="J615" s="204">
        <f ca="1">IFERROR(__xludf.DUMMYFUNCTION("IMPORTRANGE(""https://docs.google.com/spreadsheets/d/1IYY_tgx_IHuhSq3AJ5eI5OnqOPBNLWSHKh2a30DoXe8/edit?usp=sharing"",""พังงา!J510"")"),0)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IFERROR(__xludf.DUMMYFUNCTION("IMPORTRANGE(""https://docs.google.com/spreadsheets/d/1IYY_tgx_IHuhSq3AJ5eI5OnqOPBNLWSHKh2a30DoXe8/edit?usp=sharing"",""พังงา!I511"")"),0)</f>
        <v>0</v>
      </c>
      <c r="J616" s="204">
        <f ca="1">IFERROR(__xludf.DUMMYFUNCTION("IMPORTRANGE(""https://docs.google.com/spreadsheets/d/1IYY_tgx_IHuhSq3AJ5eI5OnqOPBNLWSHKh2a30DoXe8/edit?usp=sharing"",""พังงา!J511"")"),0)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IFERROR(__xludf.DUMMYFUNCTION("IMPORTRANGE(""https://docs.google.com/spreadsheets/d/1IYY_tgx_IHuhSq3AJ5eI5OnqOPBNLWSHKh2a30DoXe8/edit?usp=sharing"",""พังงา!I512"")"),0)</f>
        <v>0</v>
      </c>
      <c r="J617" s="194">
        <f ca="1">IFERROR(__xludf.DUMMYFUNCTION("IMPORTRANGE(""https://docs.google.com/spreadsheets/d/1IYY_tgx_IHuhSq3AJ5eI5OnqOPBNLWSHKh2a30DoXe8/edit?usp=sharing"",""พังงา!J512"")"),0)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IFERROR(__xludf.DUMMYFUNCTION("IMPORTRANGE(""https://docs.google.com/spreadsheets/d/1IYY_tgx_IHuhSq3AJ5eI5OnqOPBNLWSHKh2a30DoXe8/edit?usp=sharing"",""พังงา!I513"")"),0)</f>
        <v>0</v>
      </c>
      <c r="J618" s="195">
        <f ca="1">IFERROR(__xludf.DUMMYFUNCTION("IMPORTRANGE(""https://docs.google.com/spreadsheets/d/1IYY_tgx_IHuhSq3AJ5eI5OnqOPBNLWSHKh2a30DoXe8/edit?usp=sharing"",""พังงา!J513"")"),0)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IFERROR(__xludf.DUMMYFUNCTION("IMPORTRANGE(""https://docs.google.com/spreadsheets/d/1IYY_tgx_IHuhSq3AJ5eI5OnqOPBNLWSHKh2a30DoXe8/edit?usp=sharing"",""พังงา!I514"")"),0)</f>
        <v>0</v>
      </c>
      <c r="J619" s="195">
        <f ca="1">IFERROR(__xludf.DUMMYFUNCTION("IMPORTRANGE(""https://docs.google.com/spreadsheets/d/1IYY_tgx_IHuhSq3AJ5eI5OnqOPBNLWSHKh2a30DoXe8/edit?usp=sharing"",""พังงา!J514"")"),0)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IFERROR(__xludf.DUMMYFUNCTION("IMPORTRANGE(""https://docs.google.com/spreadsheets/d/1IYY_tgx_IHuhSq3AJ5eI5OnqOPBNLWSHKh2a30DoXe8/edit?usp=sharing"",""พังงา!I515"")"),0)</f>
        <v>0</v>
      </c>
      <c r="J620" s="209">
        <f ca="1">IFERROR(__xludf.DUMMYFUNCTION("IMPORTRANGE(""https://docs.google.com/spreadsheets/d/1IYY_tgx_IHuhSq3AJ5eI5OnqOPBNLWSHKh2a30DoXe8/edit?usp=sharing"",""พังงา!J515"")"),0)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IFERROR(__xludf.DUMMYFUNCTION("IMPORTRANGE(""https://docs.google.com/spreadsheets/d/1IYY_tgx_IHuhSq3AJ5eI5OnqOPBNLWSHKh2a30DoXe8/edit?usp=sharing"",""พังงา!I516"")"),0)</f>
        <v>0</v>
      </c>
      <c r="J621" s="209">
        <f ca="1">IFERROR(__xludf.DUMMYFUNCTION("IMPORTRANGE(""https://docs.google.com/spreadsheets/d/1IYY_tgx_IHuhSq3AJ5eI5OnqOPBNLWSHKh2a30DoXe8/edit?usp=sharing"",""พังงา!J516"")"),0)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IFERROR(__xludf.DUMMYFUNCTION("IMPORTRANGE(""https://docs.google.com/spreadsheets/d/1IYY_tgx_IHuhSq3AJ5eI5OnqOPBNLWSHKh2a30DoXe8/edit?usp=sharing"",""พังงา!I517"")"),0)</f>
        <v>0</v>
      </c>
      <c r="J622" s="195">
        <f ca="1">IFERROR(__xludf.DUMMYFUNCTION("IMPORTRANGE(""https://docs.google.com/spreadsheets/d/1IYY_tgx_IHuhSq3AJ5eI5OnqOPBNLWSHKh2a30DoXe8/edit?usp=sharing"",""พังงา!J517"")"),0)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IFERROR(__xludf.DUMMYFUNCTION("IMPORTRANGE(""https://docs.google.com/spreadsheets/d/1IYY_tgx_IHuhSq3AJ5eI5OnqOPBNLWSHKh2a30DoXe8/edit?usp=sharing"",""พังงา!I518"")"),0)</f>
        <v>0</v>
      </c>
      <c r="J623" s="195">
        <f ca="1">IFERROR(__xludf.DUMMYFUNCTION("IMPORTRANGE(""https://docs.google.com/spreadsheets/d/1IYY_tgx_IHuhSq3AJ5eI5OnqOPBNLWSHKh2a30DoXe8/edit?usp=sharing"",""พังงา!J518"")"),0)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IFERROR(__xludf.DUMMYFUNCTION("IMPORTRANGE(""https://docs.google.com/spreadsheets/d/1IYY_tgx_IHuhSq3AJ5eI5OnqOPBNLWSHKh2a30DoXe8/edit?usp=sharing"",""พังงา!I519"")"),0)</f>
        <v>0</v>
      </c>
      <c r="J624" s="194">
        <f ca="1">IFERROR(__xludf.DUMMYFUNCTION("IMPORTRANGE(""https://docs.google.com/spreadsheets/d/1IYY_tgx_IHuhSq3AJ5eI5OnqOPBNLWSHKh2a30DoXe8/edit?usp=sharing"",""พังงา!J519"")"),0)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IFERROR(__xludf.DUMMYFUNCTION("IMPORTRANGE(""https://docs.google.com/spreadsheets/d/1IYY_tgx_IHuhSq3AJ5eI5OnqOPBNLWSHKh2a30DoXe8/edit?usp=sharing"",""พังงา!I520"")"),0)</f>
        <v>0</v>
      </c>
      <c r="J625" s="195">
        <f ca="1">IFERROR(__xludf.DUMMYFUNCTION("IMPORTRANGE(""https://docs.google.com/spreadsheets/d/1IYY_tgx_IHuhSq3AJ5eI5OnqOPBNLWSHKh2a30DoXe8/edit?usp=sharing"",""พังงา!J520"")"),0)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IFERROR(__xludf.DUMMYFUNCTION("IMPORTRANGE(""https://docs.google.com/spreadsheets/d/1IYY_tgx_IHuhSq3AJ5eI5OnqOPBNLWSHKh2a30DoXe8/edit?usp=sharing"",""พังงา!I521"")"),0)</f>
        <v>0</v>
      </c>
      <c r="J626" s="195">
        <f ca="1">IFERROR(__xludf.DUMMYFUNCTION("IMPORTRANGE(""https://docs.google.com/spreadsheets/d/1IYY_tgx_IHuhSq3AJ5eI5OnqOPBNLWSHKh2a30DoXe8/edit?usp=sharing"",""พังงา!J521"")"),0)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IFERROR(__xludf.DUMMYFUNCTION("IMPORTRANGE(""https://docs.google.com/spreadsheets/d/1IYY_tgx_IHuhSq3AJ5eI5OnqOPBNLWSHKh2a30DoXe8/edit?usp=sharing"",""พังงา!J523"")"),931272.55)</f>
        <v>931272.55</v>
      </c>
      <c r="K628" s="348">
        <f t="shared" ref="K628:K635" ca="1" si="129">IF(I628&gt;0,J628*100/I628,0)</f>
        <v>77.524063490158625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IFERROR(__xludf.DUMMYFUNCTION("IMPORTRANGE(""https://docs.google.com/spreadsheets/d/1IYY_tgx_IHuhSq3AJ5eI5OnqOPBNLWSHKh2a30DoXe8/edit?usp=sharing"",""พังงา!J524"")"),70)</f>
        <v>70</v>
      </c>
      <c r="K629" s="348">
        <f t="shared" ca="1" si="129"/>
        <v>76.92307692307692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IFERROR(__xludf.DUMMYFUNCTION("IMPORTRANGE(""https://docs.google.com/spreadsheets/d/1IYY_tgx_IHuhSq3AJ5eI5OnqOPBNLWSHKh2a30DoXe8/edit?usp=sharing"",""พังงา!J525"")"),116108.65)</f>
        <v>116108.65</v>
      </c>
      <c r="K630" s="348">
        <f t="shared" ca="1" si="129"/>
        <v>31.949919576678866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IFERROR(__xludf.DUMMYFUNCTION("IMPORTRANGE(""https://docs.google.com/spreadsheets/d/1IYY_tgx_IHuhSq3AJ5eI5OnqOPBNLWSHKh2a30DoXe8/edit?usp=sharing"",""พังงา!J526"")"),15)</f>
        <v>15</v>
      </c>
      <c r="K631" s="348">
        <f t="shared" ca="1" si="129"/>
        <v>100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IFERROR(__xludf.DUMMYFUNCTION("IMPORTRANGE(""https://docs.google.com/spreadsheets/d/1IYY_tgx_IHuhSq3AJ5eI5OnqOPBNLWSHKh2a30DoXe8/edit?usp=sharing"",""พังงา!J527"")"),8109.28)</f>
        <v>8109.28</v>
      </c>
      <c r="K632" s="348">
        <f t="shared" ca="1" si="129"/>
        <v>45.070685557647799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IFERROR(__xludf.DUMMYFUNCTION("IMPORTRANGE(""https://docs.google.com/spreadsheets/d/1IYY_tgx_IHuhSq3AJ5eI5OnqOPBNLWSHKh2a30DoXe8/edit?usp=sharing"",""พังงา!J528"")"),26)</f>
        <v>26</v>
      </c>
      <c r="K633" s="348">
        <f t="shared" ca="1" si="129"/>
        <v>53.061224489795919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IFERROR(__xludf.DUMMYFUNCTION("IMPORTRANGE(""https://docs.google.com/spreadsheets/d/1IYY_tgx_IHuhSq3AJ5eI5OnqOPBNLWSHKh2a30DoXe8/edit?usp=sharing"",""พังงา!I529"")"),760000)</f>
        <v>760000</v>
      </c>
      <c r="J634" s="347">
        <f ca="1">IFERROR(__xludf.DUMMYFUNCTION("IMPORTRANGE(""https://docs.google.com/spreadsheets/d/1IYY_tgx_IHuhSq3AJ5eI5OnqOPBNLWSHKh2a30DoXe8/edit?usp=sharing"",""พังงา!J529"")"),600000)</f>
        <v>600000</v>
      </c>
      <c r="K634" s="348">
        <f t="shared" ca="1" si="129"/>
        <v>78.94736842105263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IFERROR(__xludf.DUMMYFUNCTION("IMPORTRANGE(""https://docs.google.com/spreadsheets/d/1IYY_tgx_IHuhSq3AJ5eI5OnqOPBNLWSHKh2a30DoXe8/edit?usp=sharing"",""พังงา!I530"")"),19)</f>
        <v>19</v>
      </c>
      <c r="J635" s="518">
        <f ca="1">IFERROR(__xludf.DUMMYFUNCTION("IMPORTRANGE(""https://docs.google.com/spreadsheets/d/1IYY_tgx_IHuhSq3AJ5eI5OnqOPBNLWSHKh2a30DoXe8/edit?usp=sharing"",""พังงา!J530"")"),15)</f>
        <v>15</v>
      </c>
      <c r="K635" s="493">
        <f t="shared" ca="1" si="129"/>
        <v>78.94736842105263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250</v>
      </c>
      <c r="M636" s="524"/>
      <c r="N636" s="523">
        <f ca="1">SUM(N637:N638)</f>
        <v>0</v>
      </c>
      <c r="O636" s="523">
        <f t="shared" ref="O636:O640" ca="1" si="130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30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250</v>
      </c>
      <c r="M638" s="534"/>
      <c r="N638" s="535">
        <f ca="1">SUM(N639:N640)</f>
        <v>0</v>
      </c>
      <c r="O638" s="535">
        <f t="shared" ca="1" si="130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30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250</v>
      </c>
      <c r="M640" s="534"/>
      <c r="N640" s="535">
        <f ca="1">SUM(N641:N644)</f>
        <v>0</v>
      </c>
      <c r="O640" s="535">
        <f t="shared" ca="1" si="130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IFERROR(__xludf.DUMMYFUNCTION("IMPORTRANGE(""https://docs.google.com/spreadsheets/d/1IYY_tgx_IHuhSq3AJ5eI5OnqOPBNLWSHKh2a30DoXe8/edit?usp=sharing"",""พังงา!J541"")"),0)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IFERROR(__xludf.DUMMYFUNCTION("IMPORTRANGE(""https://docs.google.com/spreadsheets/d/1IYY_tgx_IHuhSq3AJ5eI5OnqOPBNLWSHKh2a30DoXe8/edit?usp=sharing"",""พังงา!J542"")"),0)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IFERROR(__xludf.DUMMYFUNCTION("IMPORTRANGE(""https://docs.google.com/spreadsheets/d/1IYY_tgx_IHuhSq3AJ5eI5OnqOPBNLWSHKh2a30DoXe8/edit?usp=sharing"",""พังงา!I543"")"),0)</f>
        <v>0</v>
      </c>
      <c r="J648" s="547">
        <f ca="1">IFERROR(__xludf.DUMMYFUNCTION("IMPORTRANGE(""https://docs.google.com/spreadsheets/d/1IYY_tgx_IHuhSq3AJ5eI5OnqOPBNLWSHKh2a30DoXe8/edit?usp=sharing"",""พังงา!J543"")"),0)</f>
        <v>0</v>
      </c>
      <c r="K648" s="548">
        <f t="shared" ref="K648:K651" ca="1" si="131">IF(I648&gt;0,J648*100/I648,0)</f>
        <v>0</v>
      </c>
      <c r="L648" s="535">
        <f ca="1">IFERROR(__xludf.DUMMYFUNCTION("IMPORTRANGE(""https://docs.google.com/spreadsheets/d/1IYY_tgx_IHuhSq3AJ5eI5OnqOPBNLWSHKh2a30DoXe8/edit?usp=sharing"",""พังงา!L543"")"),0)</f>
        <v>0</v>
      </c>
      <c r="M648" s="534"/>
      <c r="N648" s="549">
        <f ca="1">IFERROR(__xludf.DUMMYFUNCTION("IMPORTRANGE(""https://docs.google.com/spreadsheets/d/1IYY_tgx_IHuhSq3AJ5eI5OnqOPBNLWSHKh2a30DoXe8/edit?usp=sharing"",""พังงา!M543"")"),0)</f>
        <v>0</v>
      </c>
      <c r="O648" s="548">
        <f t="shared" ref="O648:O651" ca="1" si="132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IFERROR(__xludf.DUMMYFUNCTION("IMPORTRANGE(""https://docs.google.com/spreadsheets/d/1IYY_tgx_IHuhSq3AJ5eI5OnqOPBNLWSHKh2a30DoXe8/edit?usp=sharing"",""พังงา!I544"")"),0)</f>
        <v>0</v>
      </c>
      <c r="J649" s="547">
        <f ca="1">IFERROR(__xludf.DUMMYFUNCTION("IMPORTRANGE(""https://docs.google.com/spreadsheets/d/1IYY_tgx_IHuhSq3AJ5eI5OnqOPBNLWSHKh2a30DoXe8/edit?usp=sharing"",""พังงา!J544"")"),0)</f>
        <v>0</v>
      </c>
      <c r="K649" s="548">
        <f t="shared" ca="1" si="131"/>
        <v>0</v>
      </c>
      <c r="L649" s="535">
        <f ca="1">IFERROR(__xludf.DUMMYFUNCTION("IMPORTRANGE(""https://docs.google.com/spreadsheets/d/1IYY_tgx_IHuhSq3AJ5eI5OnqOPBNLWSHKh2a30DoXe8/edit?usp=sharing"",""พังงา!L544"")"),0)</f>
        <v>0</v>
      </c>
      <c r="M649" s="534"/>
      <c r="N649" s="549">
        <f ca="1">IFERROR(__xludf.DUMMYFUNCTION("IMPORTRANGE(""https://docs.google.com/spreadsheets/d/1IYY_tgx_IHuhSq3AJ5eI5OnqOPBNLWSHKh2a30DoXe8/edit?usp=sharing"",""พังงา!M544"")"),0)</f>
        <v>0</v>
      </c>
      <c r="O649" s="548">
        <f t="shared" ca="1" si="132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IFERROR(__xludf.DUMMYFUNCTION("IMPORTRANGE(""https://docs.google.com/spreadsheets/d/1IYY_tgx_IHuhSq3AJ5eI5OnqOPBNLWSHKh2a30DoXe8/edit?usp=sharing"",""พังงา!I545"")"),50)</f>
        <v>50</v>
      </c>
      <c r="J650" s="547">
        <f ca="1">IFERROR(__xludf.DUMMYFUNCTION("IMPORTRANGE(""https://docs.google.com/spreadsheets/d/1IYY_tgx_IHuhSq3AJ5eI5OnqOPBNLWSHKh2a30DoXe8/edit?usp=sharing"",""พังงา!J545"")"),0)</f>
        <v>0</v>
      </c>
      <c r="K650" s="548">
        <f t="shared" ca="1" si="131"/>
        <v>0</v>
      </c>
      <c r="L650" s="535">
        <f ca="1">IFERROR(__xludf.DUMMYFUNCTION("IMPORTRANGE(""https://docs.google.com/spreadsheets/d/1IYY_tgx_IHuhSq3AJ5eI5OnqOPBNLWSHKh2a30DoXe8/edit?usp=sharing"",""พังงา!L545"")"),250)</f>
        <v>250</v>
      </c>
      <c r="M650" s="534"/>
      <c r="N650" s="549">
        <f ca="1">IFERROR(__xludf.DUMMYFUNCTION("IMPORTRANGE(""https://docs.google.com/spreadsheets/d/1IYY_tgx_IHuhSq3AJ5eI5OnqOPBNLWSHKh2a30DoXe8/edit?usp=sharing"",""พังงา!M545"")"),0)</f>
        <v>0</v>
      </c>
      <c r="O650" s="548">
        <f t="shared" ca="1" si="132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IFERROR(__xludf.DUMMYFUNCTION("IMPORTRANGE(""https://docs.google.com/spreadsheets/d/1IYY_tgx_IHuhSq3AJ5eI5OnqOPBNLWSHKh2a30DoXe8/edit?usp=sharing"",""พังงา!I546"")"),0)</f>
        <v>0</v>
      </c>
      <c r="J651" s="547">
        <f ca="1">J657+J660</f>
        <v>0</v>
      </c>
      <c r="K651" s="548">
        <f t="shared" ca="1" si="131"/>
        <v>0</v>
      </c>
      <c r="L651" s="535">
        <f ca="1">IFERROR(__xludf.DUMMYFUNCTION("IMPORTRANGE(""https://docs.google.com/spreadsheets/d/1IYY_tgx_IHuhSq3AJ5eI5OnqOPBNLWSHKh2a30DoXe8/edit?usp=sharing"",""พังงา!L546"")"),0)</f>
        <v>0</v>
      </c>
      <c r="M651" s="534"/>
      <c r="N651" s="549">
        <f ca="1">IFERROR(__xludf.DUMMYFUNCTION("IMPORTRANGE(""https://docs.google.com/spreadsheets/d/1IYY_tgx_IHuhSq3AJ5eI5OnqOPBNLWSHKh2a30DoXe8/edit?usp=sharing"",""พังงา!M546"")"),0)</f>
        <v>0</v>
      </c>
      <c r="O651" s="548">
        <f t="shared" ca="1" si="132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IFERROR(__xludf.DUMMYFUNCTION("IMPORTRANGE(""https://docs.google.com/spreadsheets/d/1IYY_tgx_IHuhSq3AJ5eI5OnqOPBNLWSHKh2a30DoXe8/edit?usp=sharing"",""พังงา!J547"")"),0)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IFERROR(__xludf.DUMMYFUNCTION("IMPORTRANGE(""https://docs.google.com/spreadsheets/d/1IYY_tgx_IHuhSq3AJ5eI5OnqOPBNLWSHKh2a30DoXe8/edit?usp=sharing"",""พังงา!J548"")"),0)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IFERROR(__xludf.DUMMYFUNCTION("IMPORTRANGE(""https://docs.google.com/spreadsheets/d/1IYY_tgx_IHuhSq3AJ5eI5OnqOPBNLWSHKh2a30DoXe8/edit?usp=sharing"",""พังงา!J550"")"),0)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IFERROR(__xludf.DUMMYFUNCTION("IMPORTRANGE(""https://docs.google.com/spreadsheets/d/1IYY_tgx_IHuhSq3AJ5eI5OnqOPBNLWSHKh2a30DoXe8/edit?usp=sharing"",""พังงา!J551"")"),0)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IFERROR(__xludf.DUMMYFUNCTION("IMPORTRANGE(""https://docs.google.com/spreadsheets/d/1IYY_tgx_IHuhSq3AJ5eI5OnqOPBNLWSHKh2a30DoXe8/edit?usp=sharing"",""พังงา!J552"")"),0)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IFERROR(__xludf.DUMMYFUNCTION("IMPORTRANGE(""https://docs.google.com/spreadsheets/d/1IYY_tgx_IHuhSq3AJ5eI5OnqOPBNLWSHKh2a30DoXe8/edit?usp=sharing"",""พังงา!J553"")"),0)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IFERROR(__xludf.DUMMYFUNCTION("IMPORTRANGE(""https://docs.google.com/spreadsheets/d/1IYY_tgx_IHuhSq3AJ5eI5OnqOPBNLWSHKh2a30DoXe8/edit?usp=sharing"",""พังงา!J554"")"),0)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IFERROR(__xludf.DUMMYFUNCTION("IMPORTRANGE(""https://docs.google.com/spreadsheets/d/1IYY_tgx_IHuhSq3AJ5eI5OnqOPBNLWSHKh2a30DoXe8/edit?usp=sharing"",""พังงา!J555"")"),0)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IFERROR(__xludf.DUMMYFUNCTION("IMPORTRANGE(""https://docs.google.com/spreadsheets/d/1IYY_tgx_IHuhSq3AJ5eI5OnqOPBNLWSHKh2a30DoXe8/edit?usp=sharing"",""พังงา!J556"")"),0)</f>
        <v>0</v>
      </c>
      <c r="K661" s="548"/>
      <c r="L661" s="535">
        <f ca="1">IFERROR(__xludf.DUMMYFUNCTION("IMPORTRANGE(""https://docs.google.com/spreadsheets/d/1IYY_tgx_IHuhSq3AJ5eI5OnqOPBNLWSHKh2a30DoXe8/edit?usp=sharing"",""พังงา!L556"")"),0)</f>
        <v>0</v>
      </c>
      <c r="M661" s="534"/>
      <c r="N661" s="549">
        <f ca="1">IFERROR(__xludf.DUMMYFUNCTION("IMPORTRANGE(""https://docs.google.com/spreadsheets/d/1IYY_tgx_IHuhSq3AJ5eI5OnqOPBNLWSHKh2a30DoXe8/edit?usp=sharing"",""พังงา!M556"")"),0)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IFERROR(__xludf.DUMMYFUNCTION("IMPORTRANGE(""https://docs.google.com/spreadsheets/d/1IYY_tgx_IHuhSq3AJ5eI5OnqOPBNLWSHKh2a30DoXe8/edit?usp=sharing"",""พังงา!J557"")"),0)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IFERROR(__xludf.DUMMYFUNCTION("IMPORTRANGE(""https://docs.google.com/spreadsheets/d/1IYY_tgx_IHuhSq3AJ5eI5OnqOPBNLWSHKh2a30DoXe8/edit?usp=sharing"",""พังงา!I558"")"),0)</f>
        <v>0</v>
      </c>
      <c r="J663" s="547">
        <f ca="1">IFERROR(__xludf.DUMMYFUNCTION("IMPORTRANGE(""https://docs.google.com/spreadsheets/d/1IYY_tgx_IHuhSq3AJ5eI5OnqOPBNLWSHKh2a30DoXe8/edit?usp=sharing"",""พังงา!J558"")"),0)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IFERROR(__xludf.DUMMYFUNCTION("IMPORTRANGE(""https://docs.google.com/spreadsheets/d/1IYY_tgx_IHuhSq3AJ5eI5OnqOPBNLWSHKh2a30DoXe8/edit?usp=sharing"",""พังงา!I560"")"),0)</f>
        <v>0</v>
      </c>
      <c r="J665" s="547">
        <f ca="1">IFERROR(__xludf.DUMMYFUNCTION("IMPORTRANGE(""https://docs.google.com/spreadsheets/d/1IYY_tgx_IHuhSq3AJ5eI5OnqOPBNLWSHKh2a30DoXe8/edit?usp=sharing"",""พังงา!J560"")"),0)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IFERROR(__xludf.DUMMYFUNCTION("IMPORTRANGE(""https://docs.google.com/spreadsheets/d/1IYY_tgx_IHuhSq3AJ5eI5OnqOPBNLWSHKh2a30DoXe8/edit?usp=sharing"",""พังงา!L560"")"),0)</f>
        <v>0</v>
      </c>
      <c r="M665" s="534"/>
      <c r="N665" s="549">
        <f ca="1">IFERROR(__xludf.DUMMYFUNCTION("IMPORTRANGE(""https://docs.google.com/spreadsheets/d/1IYY_tgx_IHuhSq3AJ5eI5OnqOPBNLWSHKh2a30DoXe8/edit?usp=sharing"",""พังงา!M560"")"),0)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IFERROR(__xludf.DUMMYFUNCTION("IMPORTRANGE(""https://docs.google.com/spreadsheets/d/1IYY_tgx_IHuhSq3AJ5eI5OnqOPBNLWSHKh2a30DoXe8/edit?usp=sharing"",""พังงา!J561"")"),0)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IFERROR(__xludf.DUMMYFUNCTION("IMPORTRANGE(""https://docs.google.com/spreadsheets/d/1IYY_tgx_IHuhSq3AJ5eI5OnqOPBNLWSHKh2a30DoXe8/edit?usp=sharing"",""พังงา!J562"")"),0)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IFERROR(__xludf.DUMMYFUNCTION("IMPORTRANGE(""https://docs.google.com/spreadsheets/d/1IYY_tgx_IHuhSq3AJ5eI5OnqOPBNLWSHKh2a30DoXe8/edit?usp=sharing"",""พังงา!I563"")"),0)</f>
        <v>0</v>
      </c>
      <c r="J668" s="547">
        <f ca="1">IFERROR(__xludf.DUMMYFUNCTION("IMPORTRANGE(""https://docs.google.com/spreadsheets/d/1IYY_tgx_IHuhSq3AJ5eI5OnqOPBNLWSHKh2a30DoXe8/edit?usp=sharing"",""พังงา!J563"")"),0)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IFERROR(__xludf.DUMMYFUNCTION("IMPORTRANGE(""https://docs.google.com/spreadsheets/d/1IYY_tgx_IHuhSq3AJ5eI5OnqOPBNLWSHKh2a30DoXe8/edit?usp=sharing"",""พังงา!L563"")"),0)</f>
        <v>0</v>
      </c>
      <c r="M668" s="534"/>
      <c r="N668" s="549">
        <f ca="1">IFERROR(__xludf.DUMMYFUNCTION("IMPORTRANGE(""https://docs.google.com/spreadsheets/d/1IYY_tgx_IHuhSq3AJ5eI5OnqOPBNLWSHKh2a30DoXe8/edit?usp=sharing"",""พังงา!M563"")"),0)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IFERROR(__xludf.DUMMYFUNCTION("IMPORTRANGE(""https://docs.google.com/spreadsheets/d/1IYY_tgx_IHuhSq3AJ5eI5OnqOPBNLWSHKh2a30DoXe8/edit?usp=sharing"",""พังงา!J564"")"),0)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IFERROR(__xludf.DUMMYFUNCTION("IMPORTRANGE(""https://docs.google.com/spreadsheets/d/1IYY_tgx_IHuhSq3AJ5eI5OnqOPBNLWSHKh2a30DoXe8/edit?usp=sharing"",""พังงา!J565"")"),0)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IFERROR(__xludf.DUMMYFUNCTION("IMPORTRANGE(""https://docs.google.com/spreadsheets/d/1IYY_tgx_IHuhSq3AJ5eI5OnqOPBNLWSHKh2a30DoXe8/edit?usp=sharing"",""พังงา!I566"")"),0)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IFERROR(__xludf.DUMMYFUNCTION("IMPORTRANGE(""https://docs.google.com/spreadsheets/d/1IYY_tgx_IHuhSq3AJ5eI5OnqOPBNLWSHKh2a30DoXe8/edit?usp=sharing"",""พังงา!L566"")"),0)</f>
        <v>0</v>
      </c>
      <c r="M671" s="534"/>
      <c r="N671" s="549">
        <f ca="1">IFERROR(__xludf.DUMMYFUNCTION("IMPORTRANGE(""https://docs.google.com/spreadsheets/d/1IYY_tgx_IHuhSq3AJ5eI5OnqOPBNLWSHKh2a30DoXe8/edit?usp=sharing"",""พังงา!M566"")"),0)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IFERROR(__xludf.DUMMYFUNCTION("IMPORTRANGE(""https://docs.google.com/spreadsheets/d/1IYY_tgx_IHuhSq3AJ5eI5OnqOPBNLWSHKh2a30DoXe8/edit?usp=sharing"",""พังงา!J567"")"),0)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IFERROR(__xludf.DUMMYFUNCTION("IMPORTRANGE(""https://docs.google.com/spreadsheets/d/1IYY_tgx_IHuhSq3AJ5eI5OnqOPBNLWSHKh2a30DoXe8/edit?usp=sharing"",""พังงา!J568"")"),0)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IFERROR(__xludf.DUMMYFUNCTION("IMPORTRANGE(""https://docs.google.com/spreadsheets/d/1IYY_tgx_IHuhSq3AJ5eI5OnqOPBNLWSHKh2a30DoXe8/edit?usp=sharing"",""พังงา!J569"")"),0)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IFERROR(__xludf.DUMMYFUNCTION("IMPORTRANGE(""https://docs.google.com/spreadsheets/d/1IYY_tgx_IHuhSq3AJ5eI5OnqOPBNLWSHKh2a30DoXe8/edit?usp=sharing"",""พังงา!J570"")"),0)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IFERROR(__xludf.DUMMYFUNCTION("IMPORTRANGE(""https://docs.google.com/spreadsheets/d/1IYY_tgx_IHuhSq3AJ5eI5OnqOPBNLWSHKh2a30DoXe8/edit?usp=sharing"",""พังงา!J571"")"),0)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IFERROR(__xludf.DUMMYFUNCTION("IMPORTRANGE(""https://docs.google.com/spreadsheets/d/1IYY_tgx_IHuhSq3AJ5eI5OnqOPBNLWSHKh2a30DoXe8/edit?usp=sharing"",""พังงา!J572"")"),0)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H10" sqref="H10"/>
      <selection pane="bottomLeft" activeCell="H10" sqref="H10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586" t="s">
        <v>0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6"/>
      <c r="M1" s="586"/>
      <c r="N1" s="586"/>
      <c r="O1" s="586"/>
      <c r="P1" s="586"/>
    </row>
    <row r="2" spans="1:16" ht="18" customHeight="1" x14ac:dyDescent="0.25">
      <c r="A2" s="586" t="s">
        <v>275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6"/>
      <c r="M2" s="586"/>
      <c r="N2" s="586"/>
      <c r="O2" s="586"/>
      <c r="P2" s="586"/>
    </row>
    <row r="3" spans="1:16" ht="18" customHeight="1" x14ac:dyDescent="0.25">
      <c r="A3" s="586" t="s">
        <v>290</v>
      </c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  <c r="M3" s="586"/>
      <c r="N3" s="586"/>
      <c r="O3" s="586"/>
      <c r="P3" s="586"/>
    </row>
    <row r="4" spans="1:16" ht="18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592" t="s">
        <v>2</v>
      </c>
      <c r="B5" s="593"/>
      <c r="C5" s="593"/>
      <c r="D5" s="593"/>
      <c r="E5" s="593"/>
      <c r="F5" s="593"/>
      <c r="G5" s="594"/>
      <c r="H5" s="587" t="s">
        <v>3</v>
      </c>
      <c r="I5" s="589" t="s">
        <v>4</v>
      </c>
      <c r="J5" s="580"/>
      <c r="K5" s="581"/>
      <c r="L5" s="590" t="s">
        <v>5</v>
      </c>
      <c r="M5" s="581"/>
      <c r="N5" s="591" t="s">
        <v>6</v>
      </c>
      <c r="O5" s="580"/>
      <c r="P5" s="581"/>
    </row>
    <row r="6" spans="1:16" ht="21.75" customHeight="1" x14ac:dyDescent="0.25">
      <c r="A6" s="595"/>
      <c r="B6" s="596"/>
      <c r="C6" s="596"/>
      <c r="D6" s="596"/>
      <c r="E6" s="596"/>
      <c r="F6" s="596"/>
      <c r="G6" s="597"/>
      <c r="H6" s="588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585" t="s">
        <v>15</v>
      </c>
      <c r="B7" s="580"/>
      <c r="C7" s="580"/>
      <c r="D7" s="580"/>
      <c r="E7" s="580"/>
      <c r="F7" s="580"/>
      <c r="G7" s="581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584" t="s">
        <v>17</v>
      </c>
      <c r="E8" s="573"/>
      <c r="F8" s="573"/>
      <c r="G8" s="573"/>
      <c r="H8" s="20" t="s">
        <v>12</v>
      </c>
      <c r="I8" s="21"/>
      <c r="J8" s="21"/>
      <c r="K8" s="22"/>
      <c r="L8" s="23">
        <f t="shared" ref="L8:N8" ca="1" si="0">L9+L10</f>
        <v>4567162</v>
      </c>
      <c r="M8" s="23">
        <f t="shared" ca="1" si="0"/>
        <v>3105610</v>
      </c>
      <c r="N8" s="23">
        <f t="shared" ca="1" si="0"/>
        <v>3458086.9699999997</v>
      </c>
      <c r="O8" s="22">
        <f t="shared" ref="O8:O16" ca="1" si="1">IF(L8&gt;0,N8*100/L8,0)</f>
        <v>75.716319456152419</v>
      </c>
      <c r="P8" s="22">
        <f t="shared" ref="P8:P16" ca="1" si="2">IF(M8&gt;0,N8*100/M8,0)</f>
        <v>111.34968556901865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4567162</v>
      </c>
      <c r="M10" s="30">
        <f t="shared" ca="1" si="4"/>
        <v>3105610</v>
      </c>
      <c r="N10" s="30">
        <f t="shared" ca="1" si="4"/>
        <v>3458086.9699999997</v>
      </c>
      <c r="O10" s="29">
        <f t="shared" ca="1" si="1"/>
        <v>75.716319456152419</v>
      </c>
      <c r="P10" s="29">
        <f t="shared" ca="1" si="2"/>
        <v>111.34968556901865</v>
      </c>
    </row>
    <row r="11" spans="1:16" ht="21.75" customHeight="1" x14ac:dyDescent="0.3">
      <c r="A11" s="31"/>
      <c r="B11" s="32"/>
      <c r="C11" s="33" t="s">
        <v>16</v>
      </c>
      <c r="D11" s="574" t="s">
        <v>20</v>
      </c>
      <c r="E11" s="575"/>
      <c r="F11" s="575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4232762</v>
      </c>
      <c r="M12" s="38">
        <f t="shared" ca="1" si="6"/>
        <v>2874210</v>
      </c>
      <c r="N12" s="38">
        <f t="shared" ca="1" si="6"/>
        <v>3123686.9699999997</v>
      </c>
      <c r="O12" s="38">
        <f t="shared" ca="1" si="1"/>
        <v>73.79784098420842</v>
      </c>
      <c r="P12" s="38">
        <f t="shared" ca="1" si="2"/>
        <v>108.67984489651069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1742900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2489862</v>
      </c>
      <c r="M14" s="38">
        <f t="shared" si="8"/>
        <v>0</v>
      </c>
      <c r="N14" s="38">
        <f t="shared" ca="1" si="8"/>
        <v>1045294.5699999998</v>
      </c>
      <c r="O14" s="41">
        <f t="shared" ca="1" si="1"/>
        <v>41.982028321248322</v>
      </c>
      <c r="P14" s="41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574" t="s">
        <v>23</v>
      </c>
      <c r="E15" s="575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3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334400</v>
      </c>
      <c r="M16" s="38">
        <f t="shared" ca="1" si="10"/>
        <v>231400</v>
      </c>
      <c r="N16" s="38">
        <f t="shared" ca="1" si="10"/>
        <v>334400</v>
      </c>
      <c r="O16" s="50">
        <f t="shared" ca="1" si="1"/>
        <v>100</v>
      </c>
      <c r="P16" s="50">
        <f t="shared" ca="1" si="2"/>
        <v>144.51166810717373</v>
      </c>
    </row>
    <row r="17" spans="1:16" ht="21.75" customHeight="1" x14ac:dyDescent="0.3">
      <c r="A17" s="585" t="s">
        <v>24</v>
      </c>
      <c r="B17" s="580"/>
      <c r="C17" s="580"/>
      <c r="D17" s="580"/>
      <c r="E17" s="580"/>
      <c r="F17" s="580"/>
      <c r="G17" s="581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584" t="s">
        <v>17</v>
      </c>
      <c r="E18" s="573"/>
      <c r="F18" s="573"/>
      <c r="G18" s="573"/>
      <c r="H18" s="20" t="s">
        <v>12</v>
      </c>
      <c r="I18" s="21"/>
      <c r="J18" s="21"/>
      <c r="K18" s="22"/>
      <c r="L18" s="23">
        <f t="shared" ref="L18:N18" ca="1" si="11">L19+L20</f>
        <v>2914215</v>
      </c>
      <c r="M18" s="23">
        <f t="shared" ca="1" si="11"/>
        <v>3105610</v>
      </c>
      <c r="N18" s="23">
        <f t="shared" ca="1" si="11"/>
        <v>2309792.4</v>
      </c>
      <c r="O18" s="22">
        <f t="shared" ref="O18:O20" ca="1" si="12">IF(L18&gt;0,N18*100/L18,0)</f>
        <v>79.259505561532009</v>
      </c>
      <c r="P18" s="22">
        <f t="shared" ref="P18:P26" ca="1" si="13">IF(M18&gt;0,N18*100/M18,0)</f>
        <v>74.37483779354136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2914215</v>
      </c>
      <c r="M20" s="30">
        <f t="shared" ca="1" si="15"/>
        <v>3105610</v>
      </c>
      <c r="N20" s="30">
        <f t="shared" ca="1" si="15"/>
        <v>2309792.4</v>
      </c>
      <c r="O20" s="29">
        <f t="shared" ca="1" si="12"/>
        <v>79.259505561532009</v>
      </c>
      <c r="P20" s="29">
        <f t="shared" ca="1" si="13"/>
        <v>74.37483779354136</v>
      </c>
    </row>
    <row r="21" spans="1:16" ht="21.75" customHeight="1" x14ac:dyDescent="0.3">
      <c r="A21" s="31"/>
      <c r="B21" s="32"/>
      <c r="C21" s="33" t="s">
        <v>16</v>
      </c>
      <c r="D21" s="574" t="s">
        <v>20</v>
      </c>
      <c r="E21" s="575"/>
      <c r="F21" s="575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2682815</v>
      </c>
      <c r="M22" s="42">
        <f t="shared" ca="1" si="18"/>
        <v>2874210</v>
      </c>
      <c r="N22" s="41">
        <f t="shared" ca="1" si="18"/>
        <v>2078392.4</v>
      </c>
      <c r="O22" s="41">
        <f t="shared" ca="1" si="17"/>
        <v>77.470582205631032</v>
      </c>
      <c r="P22" s="41">
        <f t="shared" ca="1" si="13"/>
        <v>72.311779584651092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1742900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939915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574" t="s">
        <v>23</v>
      </c>
      <c r="E25" s="575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3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231400</v>
      </c>
      <c r="M26" s="50">
        <f t="shared" ca="1" si="22"/>
        <v>231400</v>
      </c>
      <c r="N26" s="50">
        <f t="shared" ca="1" si="22"/>
        <v>231400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3">
      <c r="A27" s="585" t="s">
        <v>25</v>
      </c>
      <c r="B27" s="580"/>
      <c r="C27" s="580"/>
      <c r="D27" s="580"/>
      <c r="E27" s="580"/>
      <c r="F27" s="580"/>
      <c r="G27" s="581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584" t="s">
        <v>17</v>
      </c>
      <c r="E28" s="573"/>
      <c r="F28" s="573"/>
      <c r="G28" s="573"/>
      <c r="H28" s="20" t="s">
        <v>12</v>
      </c>
      <c r="I28" s="21"/>
      <c r="J28" s="21"/>
      <c r="K28" s="22"/>
      <c r="L28" s="23">
        <f t="shared" ref="L28:N28" ca="1" si="23">L29+L30</f>
        <v>1652947</v>
      </c>
      <c r="M28" s="23">
        <f t="shared" si="23"/>
        <v>0</v>
      </c>
      <c r="N28" s="23">
        <f t="shared" ca="1" si="23"/>
        <v>1148294.5699999998</v>
      </c>
      <c r="O28" s="22">
        <f t="shared" ref="O28:O30" ca="1" si="24">IF(L28&gt;0,N28*100/L28,0)</f>
        <v>69.469533505913972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1652947</v>
      </c>
      <c r="M30" s="30">
        <f t="shared" si="27"/>
        <v>0</v>
      </c>
      <c r="N30" s="30">
        <f t="shared" ca="1" si="27"/>
        <v>1148294.5699999998</v>
      </c>
      <c r="O30" s="29">
        <f t="shared" ca="1" si="24"/>
        <v>69.469533505913972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574" t="s">
        <v>20</v>
      </c>
      <c r="E31" s="575"/>
      <c r="F31" s="575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</f>
        <v>1549947</v>
      </c>
      <c r="M32" s="41">
        <f>M352+M383+M404+M437+M457+M535+M553+M566+M582+M599</f>
        <v>0</v>
      </c>
      <c r="N32" s="41">
        <f ca="1">N352+N383+N404+N437+N457+N535+N553+N566+N582+N599-103000</f>
        <v>1045294.5699999998</v>
      </c>
      <c r="O32" s="41">
        <f t="shared" ca="1" si="29"/>
        <v>67.44066539049399</v>
      </c>
      <c r="P32" s="41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1549947</v>
      </c>
      <c r="M34" s="41">
        <f t="shared" si="31"/>
        <v>0</v>
      </c>
      <c r="N34" s="41">
        <f t="shared" ca="1" si="31"/>
        <v>1045294.5699999998</v>
      </c>
      <c r="O34" s="41">
        <f t="shared" ca="1" si="29"/>
        <v>67.44066539049399</v>
      </c>
      <c r="P34" s="41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574" t="s">
        <v>23</v>
      </c>
      <c r="E35" s="575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3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103000</v>
      </c>
      <c r="M36" s="52">
        <v>0</v>
      </c>
      <c r="N36" s="52">
        <v>103000</v>
      </c>
      <c r="O36" s="50">
        <f t="shared" si="29"/>
        <v>100</v>
      </c>
      <c r="P36" s="50">
        <f t="shared" si="25"/>
        <v>0</v>
      </c>
    </row>
    <row r="37" spans="1:16" ht="21.75" customHeight="1" x14ac:dyDescent="0.2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2914215</v>
      </c>
      <c r="M37" s="55">
        <f t="shared" ca="1" si="32"/>
        <v>3105610</v>
      </c>
      <c r="N37" s="55">
        <f t="shared" ca="1" si="32"/>
        <v>2309792.4</v>
      </c>
      <c r="O37" s="56">
        <f t="shared" ca="1" si="29"/>
        <v>79.259505561532009</v>
      </c>
      <c r="P37" s="56">
        <f t="shared" ca="1" si="25"/>
        <v>74.37483779354136</v>
      </c>
    </row>
    <row r="38" spans="1:16" ht="21.75" customHeight="1" x14ac:dyDescent="0.3">
      <c r="A38" s="579" t="s">
        <v>27</v>
      </c>
      <c r="B38" s="580"/>
      <c r="C38" s="580"/>
      <c r="D38" s="580"/>
      <c r="E38" s="580"/>
      <c r="F38" s="580"/>
      <c r="G38" s="581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3">
      <c r="A39" s="61"/>
      <c r="B39" s="582" t="s">
        <v>28</v>
      </c>
      <c r="C39" s="573"/>
      <c r="D39" s="573"/>
      <c r="E39" s="573"/>
      <c r="F39" s="573"/>
      <c r="G39" s="573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3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3">
      <c r="A41" s="73"/>
      <c r="B41" s="74"/>
      <c r="C41" s="75" t="s">
        <v>16</v>
      </c>
      <c r="D41" s="583" t="s">
        <v>17</v>
      </c>
      <c r="E41" s="575"/>
      <c r="F41" s="575"/>
      <c r="G41" s="575"/>
      <c r="H41" s="76" t="s">
        <v>12</v>
      </c>
      <c r="I41" s="77"/>
      <c r="J41" s="77"/>
      <c r="K41" s="78"/>
      <c r="L41" s="79">
        <f t="shared" ref="L41:N41" ca="1" si="33">L42+L43</f>
        <v>604100</v>
      </c>
      <c r="M41" s="79">
        <f t="shared" ca="1" si="33"/>
        <v>604100</v>
      </c>
      <c r="N41" s="79">
        <f t="shared" ca="1" si="33"/>
        <v>442911.93</v>
      </c>
      <c r="O41" s="78">
        <f t="shared" ref="O41:O43" ca="1" si="34">IF(L41&gt;0,N41*100/L41,0)</f>
        <v>73.317651051150477</v>
      </c>
      <c r="P41" s="78">
        <f t="shared" ref="P41:P43" ca="1" si="35">IF(M41&gt;0,N41*100/M41,0)</f>
        <v>73.317651051150477</v>
      </c>
    </row>
    <row r="42" spans="1:16" ht="21.75" customHeight="1" x14ac:dyDescent="0.3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3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604100</v>
      </c>
      <c r="M43" s="79">
        <f t="shared" ca="1" si="37"/>
        <v>604100</v>
      </c>
      <c r="N43" s="79">
        <f t="shared" ca="1" si="37"/>
        <v>442911.93</v>
      </c>
      <c r="O43" s="78">
        <f t="shared" ca="1" si="34"/>
        <v>73.317651051150477</v>
      </c>
      <c r="P43" s="78">
        <f t="shared" ca="1" si="35"/>
        <v>73.317651051150477</v>
      </c>
    </row>
    <row r="44" spans="1:16" ht="21.75" customHeight="1" x14ac:dyDescent="0.3">
      <c r="A44" s="80"/>
      <c r="B44" s="81"/>
      <c r="C44" s="82" t="s">
        <v>16</v>
      </c>
      <c r="D44" s="576" t="s">
        <v>20</v>
      </c>
      <c r="E44" s="575"/>
      <c r="F44" s="575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3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604100</v>
      </c>
      <c r="M45" s="91">
        <f ca="1">IFERROR(__xludf.DUMMYFUNCTION("IMPORTRANGE(""https://docs.google.com/spreadsheets/d/1Yj_ptqi66GCucihVvJfMjLAmec39IyEx_6qawtMGysU/edit?usp=sharing"",""สบก!Q88"")"),604100)</f>
        <v>604100</v>
      </c>
      <c r="N45" s="91">
        <f ca="1">IFERROR(__xludf.DUMMYFUNCTION("IMPORTRANGE(""https://docs.google.com/spreadsheets/d/1Yj_ptqi66GCucihVvJfMjLAmec39IyEx_6qawtMGysU/edit?usp=sharing"",""สบก!R88"")"),442911.93)</f>
        <v>442911.93</v>
      </c>
      <c r="O45" s="92">
        <f ca="1">IF(L45&gt;0,N45*100/L45,0)</f>
        <v>73.317651051150477</v>
      </c>
      <c r="P45" s="92">
        <f ca="1">IF(M45&gt;0,N45*100/M45,0)</f>
        <v>73.317651051150477</v>
      </c>
    </row>
    <row r="46" spans="1:16" ht="21.75" customHeight="1" x14ac:dyDescent="0.3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IFERROR(__xludf.DUMMYFUNCTION("IMPORTRANGE(""https://docs.google.com/spreadsheets/d/1Yj_ptqi66GCucihVvJfMjLAmec39IyEx_6qawtMGysU/edit?usp=sharing"",""สบก!M88"")"),604100)</f>
        <v>604100</v>
      </c>
      <c r="M46" s="93"/>
      <c r="N46" s="41"/>
      <c r="O46" s="92"/>
      <c r="P46" s="92"/>
    </row>
    <row r="47" spans="1:16" ht="21.75" customHeight="1" x14ac:dyDescent="0.3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3">
      <c r="A48" s="80"/>
      <c r="B48" s="81"/>
      <c r="C48" s="82" t="s">
        <v>16</v>
      </c>
      <c r="D48" s="576" t="s">
        <v>23</v>
      </c>
      <c r="E48" s="575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3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3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3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3">
      <c r="A52" s="114"/>
      <c r="B52" s="577" t="s">
        <v>32</v>
      </c>
      <c r="C52" s="575"/>
      <c r="D52" s="575"/>
      <c r="E52" s="575"/>
      <c r="F52" s="575"/>
      <c r="G52" s="575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3">
      <c r="A53" s="119"/>
      <c r="B53" s="120"/>
      <c r="C53" s="121" t="s">
        <v>16</v>
      </c>
      <c r="D53" s="578" t="s">
        <v>17</v>
      </c>
      <c r="E53" s="575"/>
      <c r="F53" s="575"/>
      <c r="G53" s="575"/>
      <c r="H53" s="122" t="s">
        <v>12</v>
      </c>
      <c r="I53" s="123"/>
      <c r="J53" s="123"/>
      <c r="K53" s="124"/>
      <c r="L53" s="125">
        <f t="shared" ref="L53:N53" ca="1" si="38">L54+L55</f>
        <v>512600</v>
      </c>
      <c r="M53" s="125">
        <f t="shared" ca="1" si="38"/>
        <v>526460</v>
      </c>
      <c r="N53" s="125">
        <f t="shared" ca="1" si="38"/>
        <v>486178.01</v>
      </c>
      <c r="O53" s="124">
        <f t="shared" ref="O53:O55" ca="1" si="39">IF(L53&gt;0,N53*100/L53,0)</f>
        <v>94.845495513070617</v>
      </c>
      <c r="P53" s="124">
        <f t="shared" ref="P53:P55" ca="1" si="40">IF(M53&gt;0,N53*100/M53,0)</f>
        <v>92.348518405956767</v>
      </c>
    </row>
    <row r="54" spans="1:16" ht="21.75" customHeight="1" x14ac:dyDescent="0.3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3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512600</v>
      </c>
      <c r="M55" s="125">
        <f t="shared" ca="1" si="42"/>
        <v>526460</v>
      </c>
      <c r="N55" s="125">
        <f t="shared" ca="1" si="42"/>
        <v>486178.01</v>
      </c>
      <c r="O55" s="124">
        <f t="shared" ca="1" si="39"/>
        <v>94.845495513070617</v>
      </c>
      <c r="P55" s="124">
        <f t="shared" ca="1" si="40"/>
        <v>92.348518405956767</v>
      </c>
    </row>
    <row r="56" spans="1:16" ht="21.75" customHeight="1" x14ac:dyDescent="0.3">
      <c r="A56" s="80"/>
      <c r="B56" s="81"/>
      <c r="C56" s="82" t="s">
        <v>16</v>
      </c>
      <c r="D56" s="576" t="s">
        <v>20</v>
      </c>
      <c r="E56" s="575"/>
      <c r="F56" s="575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3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512600</v>
      </c>
      <c r="M57" s="91">
        <f ca="1">IFERROR(__xludf.DUMMYFUNCTION("IMPORTRANGE(""https://docs.google.com/spreadsheets/d/1Yj_ptqi66GCucihVvJfMjLAmec39IyEx_6qawtMGysU/edit?usp=sharing"",""สบก!Z88"")"),526460)</f>
        <v>526460</v>
      </c>
      <c r="N57" s="91">
        <f ca="1">IFERROR(__xludf.DUMMYFUNCTION("IMPORTRANGE(""https://docs.google.com/spreadsheets/d/1Yj_ptqi66GCucihVvJfMjLAmec39IyEx_6qawtMGysU/edit?usp=sharing"",""สบก!AA88"")"),486178.01)</f>
        <v>486178.01</v>
      </c>
      <c r="O57" s="92">
        <f ca="1">IF(L57&gt;0,N57*100/L57,0)</f>
        <v>94.845495513070617</v>
      </c>
      <c r="P57" s="92">
        <f ca="1">IF(M57&gt;0,N57*100/M57,0)</f>
        <v>92.348518405956767</v>
      </c>
    </row>
    <row r="58" spans="1:16" ht="21.75" customHeight="1" x14ac:dyDescent="0.3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IFERROR(__xludf.DUMMYFUNCTION("IMPORTRANGE(""https://docs.google.com/spreadsheets/d/1Yj_ptqi66GCucihVvJfMjLAmec39IyEx_6qawtMGysU/edit?usp=sharing"",""สบก!V88"")"),512600)</f>
        <v>512600</v>
      </c>
      <c r="M58" s="93"/>
      <c r="N58" s="41"/>
      <c r="O58" s="92"/>
      <c r="P58" s="92"/>
    </row>
    <row r="59" spans="1:16" ht="21.75" customHeight="1" x14ac:dyDescent="0.3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3">
      <c r="A60" s="80"/>
      <c r="B60" s="81"/>
      <c r="C60" s="82" t="s">
        <v>16</v>
      </c>
      <c r="D60" s="576" t="s">
        <v>23</v>
      </c>
      <c r="E60" s="575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3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2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2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2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2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3">
      <c r="A66" s="150"/>
      <c r="B66" s="151"/>
      <c r="C66" s="152" t="s">
        <v>16</v>
      </c>
      <c r="D66" s="572" t="s">
        <v>17</v>
      </c>
      <c r="E66" s="573"/>
      <c r="F66" s="573"/>
      <c r="G66" s="573"/>
      <c r="H66" s="153" t="s">
        <v>12</v>
      </c>
      <c r="I66" s="154"/>
      <c r="J66" s="154"/>
      <c r="K66" s="155"/>
      <c r="L66" s="156">
        <f t="shared" ref="L66:N66" ca="1" si="44">L67+L68</f>
        <v>580200</v>
      </c>
      <c r="M66" s="156">
        <f t="shared" ca="1" si="44"/>
        <v>619920</v>
      </c>
      <c r="N66" s="156">
        <f t="shared" ca="1" si="44"/>
        <v>467814.23</v>
      </c>
      <c r="O66" s="155">
        <f t="shared" ref="O66:O68" ca="1" si="45">IF(L66&gt;0,N66*100/L66,0)</f>
        <v>80.629822475008623</v>
      </c>
      <c r="P66" s="155">
        <f t="shared" ref="P66:P68" ca="1" si="46">IF(M66&gt;0,N66*100/M66,0)</f>
        <v>75.463645309072135</v>
      </c>
    </row>
    <row r="67" spans="1:16" ht="21.75" customHeight="1" x14ac:dyDescent="0.3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3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580200</v>
      </c>
      <c r="M68" s="161">
        <f t="shared" ca="1" si="48"/>
        <v>619920</v>
      </c>
      <c r="N68" s="161">
        <f t="shared" ca="1" si="48"/>
        <v>467814.23</v>
      </c>
      <c r="O68" s="160">
        <f t="shared" ca="1" si="45"/>
        <v>80.629822475008623</v>
      </c>
      <c r="P68" s="160">
        <f t="shared" ca="1" si="46"/>
        <v>75.463645309072135</v>
      </c>
    </row>
    <row r="69" spans="1:16" ht="21.75" customHeight="1" x14ac:dyDescent="0.3">
      <c r="A69" s="162"/>
      <c r="B69" s="163"/>
      <c r="C69" s="163" t="s">
        <v>16</v>
      </c>
      <c r="D69" s="574" t="s">
        <v>20</v>
      </c>
      <c r="E69" s="575"/>
      <c r="F69" s="575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2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580200</v>
      </c>
      <c r="M70" s="173">
        <f ca="1">IFERROR(__xludf.DUMMYFUNCTION("IMPORTRANGE(""https://docs.google.com/spreadsheets/d/1Yj_ptqi66GCucihVvJfMjLAmec39IyEx_6qawtMGysU/edit?usp=sharing"",""สบก!AI88"")"),619920)</f>
        <v>619920</v>
      </c>
      <c r="N70" s="174">
        <f ca="1">IFERROR(__xludf.DUMMYFUNCTION("IMPORTRANGE(""https://docs.google.com/spreadsheets/d/1Yj_ptqi66GCucihVvJfMjLAmec39IyEx_6qawtMGysU/edit?usp=sharing"",""สบก!AJ88"")"),467814.23)</f>
        <v>467814.23</v>
      </c>
      <c r="O70" s="175">
        <f ca="1">IF(L70&gt;0,N70*100/L70,0)</f>
        <v>80.629822475008623</v>
      </c>
      <c r="P70" s="175">
        <f ca="1">IF(M70&gt;0,N70*100/M70,0)</f>
        <v>75.463645309072135</v>
      </c>
    </row>
    <row r="71" spans="1:16" ht="21.75" customHeight="1" x14ac:dyDescent="0.2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IFERROR(__xludf.DUMMYFUNCTION("IMPORTRANGE(""https://docs.google.com/spreadsheets/d/1Yj_ptqi66GCucihVvJfMjLAmec39IyEx_6qawtMGysU/edit?usp=sharing"",""สบก!AE88"")"),188200)</f>
        <v>188200</v>
      </c>
      <c r="M71" s="172"/>
      <c r="N71" s="172"/>
      <c r="O71" s="175"/>
      <c r="P71" s="175"/>
    </row>
    <row r="72" spans="1:16" ht="21.75" customHeight="1" x14ac:dyDescent="0.2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IFERROR(__xludf.DUMMYFUNCTION("IMPORTRANGE(""https://docs.google.com/spreadsheets/d/1Yj_ptqi66GCucihVvJfMjLAmec39IyEx_6qawtMGysU/edit?usp=sharing"",""สบก!AF88"")"),392000)</f>
        <v>392000</v>
      </c>
      <c r="M72" s="172"/>
      <c r="N72" s="172"/>
      <c r="O72" s="175"/>
      <c r="P72" s="175"/>
    </row>
    <row r="73" spans="1:16" ht="21.75" customHeight="1" x14ac:dyDescent="0.3">
      <c r="A73" s="177"/>
      <c r="B73" s="81"/>
      <c r="C73" s="82" t="s">
        <v>16</v>
      </c>
      <c r="D73" s="576" t="s">
        <v>23</v>
      </c>
      <c r="E73" s="575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3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2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2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IFERROR(__xludf.DUMMYFUNCTION("IMPORTRANGE(""https://docs.google.com/spreadsheets/d/1IYY_tgx_IHuhSq3AJ5eI5OnqOPBNLWSHKh2a30DoXe8/edit?usp=sharing"",""พัทลุง!J16"")"),0)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2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IFERROR(__xludf.DUMMYFUNCTION("IMPORTRANGE(""https://docs.google.com/spreadsheets/d/1IYY_tgx_IHuhSq3AJ5eI5OnqOPBNLWSHKh2a30DoXe8/edit?usp=sharing"",""พัทลุง!J17"")"),1)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2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IFERROR(__xludf.DUMMYFUNCTION("IMPORTRANGE(""https://docs.google.com/spreadsheets/d/1IYY_tgx_IHuhSq3AJ5eI5OnqOPBNLWSHKh2a30DoXe8/edit?usp=sharing"",""พัทลุง!J18"")"),1)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2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IFERROR(__xludf.DUMMYFUNCTION("IMPORTRANGE(""https://docs.google.com/spreadsheets/d/1IYY_tgx_IHuhSq3AJ5eI5OnqOPBNLWSHKh2a30DoXe8/edit?usp=sharing"",""พัทลุง!J19"")"),1)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2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IFERROR(__xludf.DUMMYFUNCTION("IMPORTRANGE(""https://docs.google.com/spreadsheets/d/1IYY_tgx_IHuhSq3AJ5eI5OnqOPBNLWSHKh2a30DoXe8/edit?usp=sharing"",""พัทลุง!I20"")"),1)</f>
        <v>1</v>
      </c>
      <c r="J80" s="207">
        <f ca="1">IFERROR(__xludf.DUMMYFUNCTION("IMPORTRANGE(""https://docs.google.com/spreadsheets/d/1IYY_tgx_IHuhSq3AJ5eI5OnqOPBNLWSHKh2a30DoXe8/edit?usp=sharing"",""พัทลุง!J20"")"),1)</f>
        <v>1</v>
      </c>
      <c r="K80" s="208">
        <f t="shared" ref="K80:K88" ca="1" si="49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2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IFERROR(__xludf.DUMMYFUNCTION("IMPORTRANGE(""https://docs.google.com/spreadsheets/d/1IYY_tgx_IHuhSq3AJ5eI5OnqOPBNLWSHKh2a30DoXe8/edit?usp=sharing"",""พัทลุง!I21"")"),30)</f>
        <v>30</v>
      </c>
      <c r="J81" s="207">
        <f ca="1">IFERROR(__xludf.DUMMYFUNCTION("IMPORTRANGE(""https://docs.google.com/spreadsheets/d/1IYY_tgx_IHuhSq3AJ5eI5OnqOPBNLWSHKh2a30DoXe8/edit?usp=sharing"",""พัทลุง!J21"")"),30)</f>
        <v>30</v>
      </c>
      <c r="K81" s="208">
        <f t="shared" ca="1" si="49"/>
        <v>100</v>
      </c>
      <c r="L81" s="188"/>
      <c r="M81" s="188"/>
      <c r="N81" s="188"/>
      <c r="O81" s="188"/>
      <c r="P81" s="188"/>
    </row>
    <row r="82" spans="1:16" ht="21.75" customHeight="1" x14ac:dyDescent="0.2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IFERROR(__xludf.DUMMYFUNCTION("IMPORTRANGE(""https://docs.google.com/spreadsheets/d/1IYY_tgx_IHuhSq3AJ5eI5OnqOPBNLWSHKh2a30DoXe8/edit?usp=sharing"",""พัทลุง!I22"")"),1)</f>
        <v>1</v>
      </c>
      <c r="J82" s="210">
        <f ca="1">IFERROR(__xludf.DUMMYFUNCTION("IMPORTRANGE(""https://docs.google.com/spreadsheets/d/1IYY_tgx_IHuhSq3AJ5eI5OnqOPBNLWSHKh2a30DoXe8/edit?usp=sharing"",""พัทลุง!J22"")"),1)</f>
        <v>1</v>
      </c>
      <c r="K82" s="167">
        <f t="shared" ca="1" si="49"/>
        <v>100</v>
      </c>
      <c r="L82" s="188"/>
      <c r="M82" s="188"/>
      <c r="N82" s="188"/>
      <c r="O82" s="188"/>
      <c r="P82" s="188"/>
    </row>
    <row r="83" spans="1:16" ht="21.75" customHeight="1" x14ac:dyDescent="0.2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IFERROR(__xludf.DUMMYFUNCTION("IMPORTRANGE(""https://docs.google.com/spreadsheets/d/1IYY_tgx_IHuhSq3AJ5eI5OnqOPBNLWSHKh2a30DoXe8/edit?usp=sharing"",""พัทลุง!I23"")"),30)</f>
        <v>30</v>
      </c>
      <c r="J83" s="210">
        <f ca="1">IFERROR(__xludf.DUMMYFUNCTION("IMPORTRANGE(""https://docs.google.com/spreadsheets/d/1IYY_tgx_IHuhSq3AJ5eI5OnqOPBNLWSHKh2a30DoXe8/edit?usp=sharing"",""พัทลุง!J23"")"),30)</f>
        <v>30</v>
      </c>
      <c r="K83" s="167">
        <f t="shared" ca="1" si="49"/>
        <v>100</v>
      </c>
      <c r="L83" s="188"/>
      <c r="M83" s="188"/>
      <c r="N83" s="188"/>
      <c r="O83" s="188"/>
      <c r="P83" s="188"/>
    </row>
    <row r="84" spans="1:16" ht="21.75" customHeight="1" x14ac:dyDescent="0.2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IFERROR(__xludf.DUMMYFUNCTION("IMPORTRANGE(""https://docs.google.com/spreadsheets/d/1IYY_tgx_IHuhSq3AJ5eI5OnqOPBNLWSHKh2a30DoXe8/edit?usp=sharing"",""พัทลุง!I24"")"),0)</f>
        <v>0</v>
      </c>
      <c r="J84" s="195">
        <f ca="1">IFERROR(__xludf.DUMMYFUNCTION("IMPORTRANGE(""https://docs.google.com/spreadsheets/d/1IYY_tgx_IHuhSq3AJ5eI5OnqOPBNLWSHKh2a30DoXe8/edit?usp=sharing"",""พัทลุง!J24"")"),0)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2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IFERROR(__xludf.DUMMYFUNCTION("IMPORTRANGE(""https://docs.google.com/spreadsheets/d/1IYY_tgx_IHuhSq3AJ5eI5OnqOPBNLWSHKh2a30DoXe8/edit?usp=sharing"",""พัทลุง!I25"")"),0)</f>
        <v>0</v>
      </c>
      <c r="J85" s="195">
        <f ca="1">IFERROR(__xludf.DUMMYFUNCTION("IMPORTRANGE(""https://docs.google.com/spreadsheets/d/1IYY_tgx_IHuhSq3AJ5eI5OnqOPBNLWSHKh2a30DoXe8/edit?usp=sharing"",""พัทลุง!J25"")"),0)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2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IFERROR(__xludf.DUMMYFUNCTION("IMPORTRANGE(""https://docs.google.com/spreadsheets/d/1IYY_tgx_IHuhSq3AJ5eI5OnqOPBNLWSHKh2a30DoXe8/edit?usp=sharing"",""พัทลุง!I26"")"),0)</f>
        <v>0</v>
      </c>
      <c r="J86" s="210">
        <f ca="1">IFERROR(__xludf.DUMMYFUNCTION("IMPORTRANGE(""https://docs.google.com/spreadsheets/d/1IYY_tgx_IHuhSq3AJ5eI5OnqOPBNLWSHKh2a30DoXe8/edit?usp=sharing"",""พัทลุง!J26"")"),0)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2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IFERROR(__xludf.DUMMYFUNCTION("IMPORTRANGE(""https://docs.google.com/spreadsheets/d/1IYY_tgx_IHuhSq3AJ5eI5OnqOPBNLWSHKh2a30DoXe8/edit?usp=sharing"",""พัทลุง!I27"")"),0)</f>
        <v>0</v>
      </c>
      <c r="J87" s="210">
        <f ca="1">IFERROR(__xludf.DUMMYFUNCTION("IMPORTRANGE(""https://docs.google.com/spreadsheets/d/1IYY_tgx_IHuhSq3AJ5eI5OnqOPBNLWSHKh2a30DoXe8/edit?usp=sharing"",""พัทลุง!J27"")"),0)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25">
      <c r="A88" s="182"/>
      <c r="B88" s="183"/>
      <c r="C88" s="183"/>
      <c r="D88" s="200"/>
      <c r="E88" s="205"/>
      <c r="F88" s="211" t="s">
        <v>52</v>
      </c>
      <c r="G88" s="202"/>
      <c r="H88" s="187" t="s">
        <v>36</v>
      </c>
      <c r="I88" s="209">
        <f ca="1">IFERROR(__xludf.DUMMYFUNCTION("IMPORTRANGE(""https://docs.google.com/spreadsheets/d/1IYY_tgx_IHuhSq3AJ5eI5OnqOPBNLWSHKh2a30DoXe8/edit?usp=sharing"",""พัทลุง!I28"")"),1)</f>
        <v>1</v>
      </c>
      <c r="J88" s="210">
        <f ca="1">IFERROR(__xludf.DUMMYFUNCTION("IMPORTRANGE(""https://docs.google.com/spreadsheets/d/1IYY_tgx_IHuhSq3AJ5eI5OnqOPBNLWSHKh2a30DoXe8/edit?usp=sharing"",""พัทลุง!J28"")"),1)</f>
        <v>1</v>
      </c>
      <c r="K88" s="167">
        <f t="shared" ca="1" si="49"/>
        <v>100</v>
      </c>
      <c r="L88" s="188"/>
      <c r="M88" s="188"/>
      <c r="N88" s="188"/>
      <c r="O88" s="188"/>
      <c r="P88" s="188"/>
    </row>
    <row r="89" spans="1:16" ht="21.75" customHeight="1" x14ac:dyDescent="0.2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IFERROR(__xludf.DUMMYFUNCTION("IMPORTRANGE(""https://docs.google.com/spreadsheets/d/1IYY_tgx_IHuhSq3AJ5eI5OnqOPBNLWSHKh2a30DoXe8/edit?usp=sharing"",""พัทลุง!J29"")"),0)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2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IFERROR(__xludf.DUMMYFUNCTION("IMPORTRANGE(""https://docs.google.com/spreadsheets/d/1IYY_tgx_IHuhSq3AJ5eI5OnqOPBNLWSHKh2a30DoXe8/edit?usp=sharing"",""พัทลุง!J30"")"),0)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2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2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IFERROR(__xludf.DUMMYFUNCTION("IMPORTRANGE(""https://docs.google.com/spreadsheets/d/1IYY_tgx_IHuhSq3AJ5eI5OnqOPBNLWSHKh2a30DoXe8/edit?usp=sharing"",""พัทลุง!J32"")"),4)</f>
        <v>4</v>
      </c>
      <c r="K92" s="147">
        <f t="shared" ref="K92:K93" ca="1" si="50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2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0"/>
        <v>100</v>
      </c>
      <c r="L93" s="229"/>
      <c r="M93" s="229"/>
      <c r="N93" s="229"/>
      <c r="O93" s="147"/>
      <c r="P93" s="147"/>
    </row>
    <row r="94" spans="1:16" ht="21.75" customHeight="1" x14ac:dyDescent="0.3">
      <c r="A94" s="150"/>
      <c r="B94" s="151"/>
      <c r="C94" s="152" t="s">
        <v>16</v>
      </c>
      <c r="D94" s="572" t="s">
        <v>17</v>
      </c>
      <c r="E94" s="573"/>
      <c r="F94" s="573"/>
      <c r="G94" s="573"/>
      <c r="H94" s="153" t="s">
        <v>12</v>
      </c>
      <c r="I94" s="166"/>
      <c r="J94" s="166"/>
      <c r="K94" s="167"/>
      <c r="L94" s="156">
        <f t="shared" ref="L94:N94" ca="1" si="51">L95+L96</f>
        <v>214500</v>
      </c>
      <c r="M94" s="156">
        <f t="shared" ca="1" si="51"/>
        <v>214500</v>
      </c>
      <c r="N94" s="156">
        <f t="shared" ca="1" si="51"/>
        <v>138800</v>
      </c>
      <c r="O94" s="155">
        <f t="shared" ref="O94:O96" ca="1" si="52">IF(L94&gt;0,N94*100/L94,0)</f>
        <v>64.708624708624711</v>
      </c>
      <c r="P94" s="155">
        <f t="shared" ref="P94:P96" ca="1" si="53">IF(M94&gt;0,N94*100/M94,0)</f>
        <v>64.708624708624711</v>
      </c>
    </row>
    <row r="95" spans="1:16" ht="21.75" customHeight="1" x14ac:dyDescent="0.3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3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214500</v>
      </c>
      <c r="M96" s="161">
        <f t="shared" ca="1" si="55"/>
        <v>214500</v>
      </c>
      <c r="N96" s="161">
        <f t="shared" ca="1" si="55"/>
        <v>138800</v>
      </c>
      <c r="O96" s="160">
        <f t="shared" ca="1" si="52"/>
        <v>64.708624708624711</v>
      </c>
      <c r="P96" s="160">
        <f t="shared" ca="1" si="53"/>
        <v>64.708624708624711</v>
      </c>
    </row>
    <row r="97" spans="1:16" ht="21.75" customHeight="1" x14ac:dyDescent="0.3">
      <c r="A97" s="162"/>
      <c r="B97" s="163"/>
      <c r="C97" s="163" t="s">
        <v>16</v>
      </c>
      <c r="D97" s="574" t="s">
        <v>20</v>
      </c>
      <c r="E97" s="575"/>
      <c r="F97" s="575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2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IFERROR(__xludf.DUMMYFUNCTION("IMPORTRANGE(""https://docs.google.com/spreadsheets/d/1Yj_ptqi66GCucihVvJfMjLAmec39IyEx_6qawtMGysU/edit?usp=sharing"",""สบก!AR88"")"),122100)</f>
        <v>122100</v>
      </c>
      <c r="N98" s="174">
        <f ca="1">IFERROR(__xludf.DUMMYFUNCTION("IMPORTRANGE(""https://docs.google.com/spreadsheets/d/1Yj_ptqi66GCucihVvJfMjLAmec39IyEx_6qawtMGysU/edit?usp=sharing"",""สบก!AS88"")"),46400)</f>
        <v>46400</v>
      </c>
      <c r="O98" s="175">
        <f ca="1">IF(L98&gt;0,N98*100/L98,0)</f>
        <v>38.001638001638</v>
      </c>
      <c r="P98" s="175">
        <f ca="1">IF(M98&gt;0,N98*100/M98,0)</f>
        <v>38.001638001638</v>
      </c>
    </row>
    <row r="99" spans="1:16" ht="21.75" customHeight="1" x14ac:dyDescent="0.2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IFERROR(__xludf.DUMMYFUNCTION("IMPORTRANGE(""https://docs.google.com/spreadsheets/d/1Yj_ptqi66GCucihVvJfMjLAmec39IyEx_6qawtMGysU/edit?usp=sharing"",""สบก!AN88"")"),0)</f>
        <v>0</v>
      </c>
      <c r="M99" s="172"/>
      <c r="N99" s="172"/>
      <c r="O99" s="175"/>
      <c r="P99" s="175"/>
    </row>
    <row r="100" spans="1:16" ht="21.75" customHeight="1" x14ac:dyDescent="0.2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IFERROR(__xludf.DUMMYFUNCTION("IMPORTRANGE(""https://docs.google.com/spreadsheets/d/1Yj_ptqi66GCucihVvJfMjLAmec39IyEx_6qawtMGysU/edit?usp=sharing"",""สบก!AO88"")"),122100)</f>
        <v>122100</v>
      </c>
      <c r="M100" s="172"/>
      <c r="N100" s="172"/>
      <c r="O100" s="175"/>
      <c r="P100" s="175"/>
    </row>
    <row r="101" spans="1:16" ht="21.75" customHeight="1" x14ac:dyDescent="0.3">
      <c r="A101" s="177"/>
      <c r="B101" s="81"/>
      <c r="C101" s="82" t="s">
        <v>16</v>
      </c>
      <c r="D101" s="576" t="s">
        <v>23</v>
      </c>
      <c r="E101" s="575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3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2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2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IFERROR(__xludf.DUMMYFUNCTION("IMPORTRANGE(""https://docs.google.com/spreadsheets/d/1IYY_tgx_IHuhSq3AJ5eI5OnqOPBNLWSHKh2a30DoXe8/edit?usp=sharing"",""พัทลุง!J39"")"),0)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2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IFERROR(__xludf.DUMMYFUNCTION("IMPORTRANGE(""https://docs.google.com/spreadsheets/d/1IYY_tgx_IHuhSq3AJ5eI5OnqOPBNLWSHKh2a30DoXe8/edit?usp=sharing"",""พัทลุง!J40"")"),1)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2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IFERROR(__xludf.DUMMYFUNCTION("IMPORTRANGE(""https://docs.google.com/spreadsheets/d/1IYY_tgx_IHuhSq3AJ5eI5OnqOPBNLWSHKh2a30DoXe8/edit?usp=sharing"",""พัทลุง!J41"")"),1)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2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IFERROR(__xludf.DUMMYFUNCTION("IMPORTRANGE(""https://docs.google.com/spreadsheets/d/1IYY_tgx_IHuhSq3AJ5eI5OnqOPBNLWSHKh2a30DoXe8/edit?usp=sharing"",""พัทลุง!J42"")"),1)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2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IFERROR(__xludf.DUMMYFUNCTION("IMPORTRANGE(""https://docs.google.com/spreadsheets/d/1IYY_tgx_IHuhSq3AJ5eI5OnqOPBNLWSHKh2a30DoXe8/edit?usp=sharing"",""พัทลุง!I43"")"),1)</f>
        <v>1</v>
      </c>
      <c r="J108" s="210">
        <f ca="1">IFERROR(__xludf.DUMMYFUNCTION("IMPORTRANGE(""https://docs.google.com/spreadsheets/d/1IYY_tgx_IHuhSq3AJ5eI5OnqOPBNLWSHKh2a30DoXe8/edit?usp=sharing"",""พัทลุง!J43"")"),1)</f>
        <v>1</v>
      </c>
      <c r="K108" s="230">
        <f t="shared" ref="K108:K113" ca="1" si="56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2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IFERROR(__xludf.DUMMYFUNCTION("IMPORTRANGE(""https://docs.google.com/spreadsheets/d/1IYY_tgx_IHuhSq3AJ5eI5OnqOPBNLWSHKh2a30DoXe8/edit?usp=sharing"",""พัทลุง!I44"")"),4)</f>
        <v>4</v>
      </c>
      <c r="J109" s="210">
        <f ca="1">IFERROR(__xludf.DUMMYFUNCTION("IMPORTRANGE(""https://docs.google.com/spreadsheets/d/1IYY_tgx_IHuhSq3AJ5eI5OnqOPBNLWSHKh2a30DoXe8/edit?usp=sharing"",""พัทลุง!J44"")"),4)</f>
        <v>4</v>
      </c>
      <c r="K109" s="230">
        <f t="shared" ca="1" si="56"/>
        <v>100</v>
      </c>
      <c r="L109" s="175"/>
      <c r="M109" s="175"/>
      <c r="N109" s="175"/>
      <c r="O109" s="188"/>
      <c r="P109" s="188"/>
    </row>
    <row r="110" spans="1:16" ht="21.75" customHeight="1" x14ac:dyDescent="0.2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IFERROR(__xludf.DUMMYFUNCTION("IMPORTRANGE(""https://docs.google.com/spreadsheets/d/1IYY_tgx_IHuhSq3AJ5eI5OnqOPBNLWSHKh2a30DoXe8/edit?usp=sharing"",""พัทลุง!I45"")"),4)</f>
        <v>4</v>
      </c>
      <c r="J110" s="210">
        <f ca="1">IFERROR(__xludf.DUMMYFUNCTION("IMPORTRANGE(""https://docs.google.com/spreadsheets/d/1IYY_tgx_IHuhSq3AJ5eI5OnqOPBNLWSHKh2a30DoXe8/edit?usp=sharing"",""พัทลุง!J45"")"),4)</f>
        <v>4</v>
      </c>
      <c r="K110" s="230">
        <f t="shared" ca="1" si="56"/>
        <v>100</v>
      </c>
      <c r="L110" s="175"/>
      <c r="M110" s="175"/>
      <c r="N110" s="175"/>
      <c r="O110" s="188"/>
      <c r="P110" s="188"/>
    </row>
    <row r="111" spans="1:16" ht="21.75" customHeight="1" x14ac:dyDescent="0.2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IFERROR(__xludf.DUMMYFUNCTION("IMPORTRANGE(""https://docs.google.com/spreadsheets/d/1IYY_tgx_IHuhSq3AJ5eI5OnqOPBNLWSHKh2a30DoXe8/edit?usp=sharing"",""พัทลุง!I46"")"),4)</f>
        <v>4</v>
      </c>
      <c r="J111" s="210">
        <f ca="1">IFERROR(__xludf.DUMMYFUNCTION("IMPORTRANGE(""https://docs.google.com/spreadsheets/d/1IYY_tgx_IHuhSq3AJ5eI5OnqOPBNLWSHKh2a30DoXe8/edit?usp=sharing"",""พัทลุง!J46"")"),4)</f>
        <v>4</v>
      </c>
      <c r="K111" s="230">
        <f t="shared" ca="1" si="56"/>
        <v>100</v>
      </c>
      <c r="L111" s="175"/>
      <c r="M111" s="175"/>
      <c r="N111" s="175"/>
      <c r="O111" s="188"/>
      <c r="P111" s="188"/>
    </row>
    <row r="112" spans="1:16" ht="21.75" customHeight="1" x14ac:dyDescent="0.2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IFERROR(__xludf.DUMMYFUNCTION("IMPORTRANGE(""https://docs.google.com/spreadsheets/d/1IYY_tgx_IHuhSq3AJ5eI5OnqOPBNLWSHKh2a30DoXe8/edit?usp=sharing"",""พัทลุง!I47"")"),4)</f>
        <v>4</v>
      </c>
      <c r="J112" s="210">
        <f ca="1">IFERROR(__xludf.DUMMYFUNCTION("IMPORTRANGE(""https://docs.google.com/spreadsheets/d/1IYY_tgx_IHuhSq3AJ5eI5OnqOPBNLWSHKh2a30DoXe8/edit?usp=sharing"",""พัทลุง!J47"")"),4)</f>
        <v>4</v>
      </c>
      <c r="K112" s="230">
        <f t="shared" ca="1" si="56"/>
        <v>100</v>
      </c>
      <c r="L112" s="175"/>
      <c r="M112" s="175"/>
      <c r="N112" s="175"/>
      <c r="O112" s="188"/>
      <c r="P112" s="188"/>
    </row>
    <row r="113" spans="1:16" ht="21.75" customHeight="1" x14ac:dyDescent="0.2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IFERROR(__xludf.DUMMYFUNCTION("IMPORTRANGE(""https://docs.google.com/spreadsheets/d/1IYY_tgx_IHuhSq3AJ5eI5OnqOPBNLWSHKh2a30DoXe8/edit?usp=sharing"",""พัทลุง!I48"")"),1)</f>
        <v>1</v>
      </c>
      <c r="J113" s="210">
        <f ca="1">IFERROR(__xludf.DUMMYFUNCTION("IMPORTRANGE(""https://docs.google.com/spreadsheets/d/1IYY_tgx_IHuhSq3AJ5eI5OnqOPBNLWSHKh2a30DoXe8/edit?usp=sharing"",""พัทลุง!J48"")"),1)</f>
        <v>1</v>
      </c>
      <c r="K113" s="230">
        <f t="shared" ca="1" si="56"/>
        <v>100</v>
      </c>
      <c r="L113" s="175"/>
      <c r="M113" s="175"/>
      <c r="N113" s="175"/>
      <c r="O113" s="188"/>
      <c r="P113" s="188"/>
    </row>
    <row r="114" spans="1:16" ht="21.75" customHeight="1" x14ac:dyDescent="0.2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IFERROR(__xludf.DUMMYFUNCTION("IMPORTRANGE(""https://docs.google.com/spreadsheets/d/1IYY_tgx_IHuhSq3AJ5eI5OnqOPBNLWSHKh2a30DoXe8/edit?usp=sharing"",""พัทลุง!J49"")"),0)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2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IFERROR(__xludf.DUMMYFUNCTION("IMPORTRANGE(""https://docs.google.com/spreadsheets/d/1IYY_tgx_IHuhSq3AJ5eI5OnqOPBNLWSHKh2a30DoXe8/edit?usp=sharing"",""พัทลุง!J50"")"),0)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2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2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3">
      <c r="A118" s="150"/>
      <c r="B118" s="151"/>
      <c r="C118" s="152" t="s">
        <v>16</v>
      </c>
      <c r="D118" s="572" t="s">
        <v>17</v>
      </c>
      <c r="E118" s="573"/>
      <c r="F118" s="573"/>
      <c r="G118" s="573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3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3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3">
      <c r="A121" s="162"/>
      <c r="B121" s="163"/>
      <c r="C121" s="163" t="s">
        <v>16</v>
      </c>
      <c r="D121" s="574" t="s">
        <v>20</v>
      </c>
      <c r="E121" s="575"/>
      <c r="F121" s="575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2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IFERROR(__xludf.DUMMYFUNCTION("IMPORTRANGE(""https://docs.google.com/spreadsheets/d/1Yj_ptqi66GCucihVvJfMjLAmec39IyEx_6qawtMGysU/edit?usp=sharing"",""สบก!BA88"")"),0)</f>
        <v>0</v>
      </c>
      <c r="N122" s="174">
        <f ca="1">IFERROR(__xludf.DUMMYFUNCTION("IMPORTRANGE(""https://docs.google.com/spreadsheets/d/1Yj_ptqi66GCucihVvJfMjLAmec39IyEx_6qawtMGysU/edit?usp=sharing"",""สบก!BB88"")"),0)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2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IFERROR(__xludf.DUMMYFUNCTION("IMPORTRANGE(""https://docs.google.com/spreadsheets/d/1Yj_ptqi66GCucihVvJfMjLAmec39IyEx_6qawtMGysU/edit?usp=sharing"",""สบก!AW88"")"),0)</f>
        <v>0</v>
      </c>
      <c r="M123" s="172"/>
      <c r="N123" s="172"/>
      <c r="O123" s="175"/>
      <c r="P123" s="175"/>
    </row>
    <row r="124" spans="1:16" ht="21.75" customHeight="1" x14ac:dyDescent="0.2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IFERROR(__xludf.DUMMYFUNCTION("IMPORTRANGE(""https://docs.google.com/spreadsheets/d/1Yj_ptqi66GCucihVvJfMjLAmec39IyEx_6qawtMGysU/edit?usp=sharing"",""สบก!AX88"")"),0)</f>
        <v>0</v>
      </c>
      <c r="M124" s="172"/>
      <c r="N124" s="172"/>
      <c r="O124" s="175"/>
      <c r="P124" s="175"/>
    </row>
    <row r="125" spans="1:16" ht="21.75" customHeight="1" x14ac:dyDescent="0.3">
      <c r="A125" s="177"/>
      <c r="B125" s="81"/>
      <c r="C125" s="82" t="s">
        <v>16</v>
      </c>
      <c r="D125" s="576" t="s">
        <v>23</v>
      </c>
      <c r="E125" s="575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3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25">
      <c r="A127" s="182"/>
      <c r="B127" s="183"/>
      <c r="C127" s="163" t="s">
        <v>16</v>
      </c>
      <c r="D127" s="239" t="s">
        <v>276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2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IFERROR(__xludf.DUMMYFUNCTION("IMPORTRANGE(""https://docs.google.com/spreadsheets/d/1IYY_tgx_IHuhSq3AJ5eI5OnqOPBNLWSHKh2a30DoXe8/edit?usp=sharing"",""พัทลุง!J58"")"),0)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2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IFERROR(__xludf.DUMMYFUNCTION("IMPORTRANGE(""https://docs.google.com/spreadsheets/d/1IYY_tgx_IHuhSq3AJ5eI5OnqOPBNLWSHKh2a30DoXe8/edit?usp=sharing"",""พัทลุง!J59"")"),0)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2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IFERROR(__xludf.DUMMYFUNCTION("IMPORTRANGE(""https://docs.google.com/spreadsheets/d/1IYY_tgx_IHuhSq3AJ5eI5OnqOPBNLWSHKh2a30DoXe8/edit?usp=sharing"",""พัทลุง!J60"")"),0)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2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IFERROR(__xludf.DUMMYFUNCTION("IMPORTRANGE(""https://docs.google.com/spreadsheets/d/1IYY_tgx_IHuhSq3AJ5eI5OnqOPBNLWSHKh2a30DoXe8/edit?usp=sharing"",""พัทลุง!J61"")"),0)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2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IFERROR(__xludf.DUMMYFUNCTION("IMPORTRANGE(""https://docs.google.com/spreadsheets/d/1IYY_tgx_IHuhSq3AJ5eI5OnqOPBNLWSHKh2a30DoXe8/edit?usp=sharing"",""พัทลุง!I62"")"),0)</f>
        <v>0</v>
      </c>
      <c r="J132" s="210">
        <f ca="1">IFERROR(__xludf.DUMMYFUNCTION("IMPORTRANGE(""https://docs.google.com/spreadsheets/d/1IYY_tgx_IHuhSq3AJ5eI5OnqOPBNLWSHKh2a30DoXe8/edit?usp=sharing"",""พัทลุง!J62"")"),0)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2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IFERROR(__xludf.DUMMYFUNCTION("IMPORTRANGE(""https://docs.google.com/spreadsheets/d/1IYY_tgx_IHuhSq3AJ5eI5OnqOPBNLWSHKh2a30DoXe8/edit?usp=sharing"",""พัทลุง!I63"")"),0)</f>
        <v>0</v>
      </c>
      <c r="J133" s="210">
        <f ca="1">IFERROR(__xludf.DUMMYFUNCTION("IMPORTRANGE(""https://docs.google.com/spreadsheets/d/1IYY_tgx_IHuhSq3AJ5eI5OnqOPBNLWSHKh2a30DoXe8/edit?usp=sharing"",""พัทลุง!J63"")"),0)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2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IFERROR(__xludf.DUMMYFUNCTION("IMPORTRANGE(""https://docs.google.com/spreadsheets/d/1IYY_tgx_IHuhSq3AJ5eI5OnqOPBNLWSHKh2a30DoXe8/edit?usp=sharing"",""พัทลุง!J64"")"),0)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2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IFERROR(__xludf.DUMMYFUNCTION("IMPORTRANGE(""https://docs.google.com/spreadsheets/d/1IYY_tgx_IHuhSq3AJ5eI5OnqOPBNLWSHKh2a30DoXe8/edit?usp=sharing"",""พัทลุง!J65"")"),0)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2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2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2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IFERROR(__xludf.DUMMYFUNCTION("IMPORTRANGE(""https://docs.google.com/spreadsheets/d/1IYY_tgx_IHuhSq3AJ5eI5OnqOPBNLWSHKh2a30DoXe8/edit?usp=sharing"",""พัทลุง!I68"")"),0)</f>
        <v>0</v>
      </c>
      <c r="J138" s="273">
        <f ca="1">IFERROR(__xludf.DUMMYFUNCTION("IMPORTRANGE(""https://docs.google.com/spreadsheets/d/1IYY_tgx_IHuhSq3AJ5eI5OnqOPBNLWSHKh2a30DoXe8/edit?usp=sharing"",""พัทลุง!J68"")"),0)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2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3">
      <c r="A140" s="150"/>
      <c r="B140" s="151"/>
      <c r="C140" s="152" t="s">
        <v>16</v>
      </c>
      <c r="D140" s="572" t="s">
        <v>17</v>
      </c>
      <c r="E140" s="573"/>
      <c r="F140" s="573"/>
      <c r="G140" s="573"/>
      <c r="H140" s="153" t="s">
        <v>12</v>
      </c>
      <c r="I140" s="166"/>
      <c r="J140" s="166"/>
      <c r="K140" s="167"/>
      <c r="L140" s="156">
        <f t="shared" ref="L140:N140" ca="1" si="63">L141+L142</f>
        <v>43000</v>
      </c>
      <c r="M140" s="156">
        <f t="shared" ca="1" si="63"/>
        <v>141675</v>
      </c>
      <c r="N140" s="156">
        <f t="shared" ca="1" si="63"/>
        <v>34615</v>
      </c>
      <c r="O140" s="155">
        <f t="shared" ref="O140:O142" ca="1" si="64">IF(L140&gt;0,N140*100/L140,0)</f>
        <v>80.5</v>
      </c>
      <c r="P140" s="155">
        <f t="shared" ref="P140:P142" ca="1" si="65">IF(M140&gt;0,N140*100/M140,0)</f>
        <v>24.432680430562908</v>
      </c>
    </row>
    <row r="141" spans="1:16" ht="21.75" customHeight="1" x14ac:dyDescent="0.3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3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43000</v>
      </c>
      <c r="M142" s="161">
        <f t="shared" ca="1" si="67"/>
        <v>141675</v>
      </c>
      <c r="N142" s="161">
        <f t="shared" ca="1" si="67"/>
        <v>34615</v>
      </c>
      <c r="O142" s="160">
        <f t="shared" ca="1" si="64"/>
        <v>80.5</v>
      </c>
      <c r="P142" s="160">
        <f t="shared" ca="1" si="65"/>
        <v>24.432680430562908</v>
      </c>
    </row>
    <row r="143" spans="1:16" ht="21.75" customHeight="1" x14ac:dyDescent="0.3">
      <c r="A143" s="162"/>
      <c r="B143" s="163"/>
      <c r="C143" s="163" t="s">
        <v>16</v>
      </c>
      <c r="D143" s="574" t="s">
        <v>20</v>
      </c>
      <c r="E143" s="575"/>
      <c r="F143" s="575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2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IFERROR(__xludf.DUMMYFUNCTION("IMPORTRANGE(""https://docs.google.com/spreadsheets/d/1Yj_ptqi66GCucihVvJfMjLAmec39IyEx_6qawtMGysU/edit?usp=sharing"",""สบก!BJ88"")"),141675)</f>
        <v>141675</v>
      </c>
      <c r="N144" s="174">
        <f ca="1">IFERROR(__xludf.DUMMYFUNCTION("IMPORTRANGE(""https://docs.google.com/spreadsheets/d/1Yj_ptqi66GCucihVvJfMjLAmec39IyEx_6qawtMGysU/edit?usp=sharing"",""สบก!BK88"")"),34615)</f>
        <v>34615</v>
      </c>
      <c r="O144" s="175">
        <f ca="1">IF(L144&gt;0,N144*100/L144,0)</f>
        <v>80.5</v>
      </c>
      <c r="P144" s="175">
        <f ca="1">IF(M144&gt;0,N144*100/M144,0)</f>
        <v>24.432680430562908</v>
      </c>
    </row>
    <row r="145" spans="1:16" ht="21.75" customHeight="1" x14ac:dyDescent="0.2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IFERROR(__xludf.DUMMYFUNCTION("IMPORTRANGE(""https://docs.google.com/spreadsheets/d/1Yj_ptqi66GCucihVvJfMjLAmec39IyEx_6qawtMGysU/edit?usp=sharing"",""สบก!BF88"")"),0)</f>
        <v>0</v>
      </c>
      <c r="M145" s="172"/>
      <c r="N145" s="172"/>
      <c r="O145" s="175"/>
      <c r="P145" s="175"/>
    </row>
    <row r="146" spans="1:16" ht="21.75" customHeight="1" x14ac:dyDescent="0.2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IFERROR(__xludf.DUMMYFUNCTION("IMPORTRANGE(""https://docs.google.com/spreadsheets/d/1Yj_ptqi66GCucihVvJfMjLAmec39IyEx_6qawtMGysU/edit?usp=sharing"",""สบก!BG88"")"),43000)</f>
        <v>43000</v>
      </c>
      <c r="M146" s="172"/>
      <c r="N146" s="172"/>
      <c r="O146" s="175"/>
      <c r="P146" s="175"/>
    </row>
    <row r="147" spans="1:16" ht="21.75" customHeight="1" x14ac:dyDescent="0.3">
      <c r="A147" s="177"/>
      <c r="B147" s="81"/>
      <c r="C147" s="82" t="s">
        <v>16</v>
      </c>
      <c r="D147" s="576" t="s">
        <v>23</v>
      </c>
      <c r="E147" s="575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3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2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IFERROR(__xludf.DUMMYFUNCTION("IMPORTRANGE(""https://docs.google.com/spreadsheets/d/1IYY_tgx_IHuhSq3AJ5eI5OnqOPBNLWSHKh2a30DoXe8/edit?usp=sharing"",""พัทลุง!I74"")"),4)</f>
        <v>4</v>
      </c>
      <c r="J149" s="281">
        <f ca="1">IFERROR(__xludf.DUMMYFUNCTION("IMPORTRANGE(""https://docs.google.com/spreadsheets/d/1IYY_tgx_IHuhSq3AJ5eI5OnqOPBNLWSHKh2a30DoXe8/edit?usp=sharing"",""พัทลุง!J74"")"),3)</f>
        <v>3</v>
      </c>
      <c r="K149" s="282">
        <f ca="1">IF(I149&gt;0,J149*100/I149,0)</f>
        <v>75</v>
      </c>
      <c r="L149" s="283"/>
      <c r="M149" s="283"/>
      <c r="N149" s="283"/>
      <c r="O149" s="283"/>
      <c r="P149" s="283"/>
    </row>
    <row r="150" spans="1:16" ht="21.75" customHeight="1" x14ac:dyDescent="0.2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2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2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2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2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IFERROR(__xludf.DUMMYFUNCTION("IMPORTRANGE(""https://docs.google.com/spreadsheets/d/1IYY_tgx_IHuhSq3AJ5eI5OnqOPBNLWSHKh2a30DoXe8/edit?usp=sharing"",""พัทลุง!J79"")"),0)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2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IFERROR(__xludf.DUMMYFUNCTION("IMPORTRANGE(""https://docs.google.com/spreadsheets/d/1IYY_tgx_IHuhSq3AJ5eI5OnqOPBNLWSHKh2a30DoXe8/edit?usp=sharing"",""พัทลุง!J80"")"),1)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2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IFERROR(__xludf.DUMMYFUNCTION("IMPORTRANGE(""https://docs.google.com/spreadsheets/d/1IYY_tgx_IHuhSq3AJ5eI5OnqOPBNLWSHKh2a30DoXe8/edit?usp=sharing"",""พัทลุง!J81"")"),1)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2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IFERROR(__xludf.DUMMYFUNCTION("IMPORTRANGE(""https://docs.google.com/spreadsheets/d/1IYY_tgx_IHuhSq3AJ5eI5OnqOPBNLWSHKh2a30DoXe8/edit?usp=sharing"",""พัทลุง!J82"")"),1)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2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IFERROR(__xludf.DUMMYFUNCTION("IMPORTRANGE(""https://docs.google.com/spreadsheets/d/1IYY_tgx_IHuhSq3AJ5eI5OnqOPBNLWSHKh2a30DoXe8/edit?usp=sharing"",""พัทลุง!I83"")"),4)</f>
        <v>4</v>
      </c>
      <c r="J158" s="195">
        <f ca="1">IFERROR(__xludf.DUMMYFUNCTION("IMPORTRANGE(""https://docs.google.com/spreadsheets/d/1IYY_tgx_IHuhSq3AJ5eI5OnqOPBNLWSHKh2a30DoXe8/edit?usp=sharing"",""พัทลุง!J83"")"),3)</f>
        <v>3</v>
      </c>
      <c r="K158" s="167">
        <f ca="1">IF(I158&gt;0,J158*100/I158,0)</f>
        <v>75</v>
      </c>
      <c r="L158" s="188"/>
      <c r="M158" s="188"/>
      <c r="N158" s="188"/>
      <c r="O158" s="188"/>
      <c r="P158" s="188"/>
    </row>
    <row r="159" spans="1:16" ht="21.75" customHeight="1" x14ac:dyDescent="0.2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IFERROR(__xludf.DUMMYFUNCTION("IMPORTRANGE(""https://docs.google.com/spreadsheets/d/1IYY_tgx_IHuhSq3AJ5eI5OnqOPBNLWSHKh2a30DoXe8/edit?usp=sharing"",""พัทลุง!J84"")"),51)</f>
        <v>51</v>
      </c>
      <c r="K159" s="167"/>
      <c r="L159" s="188"/>
      <c r="M159" s="188"/>
      <c r="N159" s="188"/>
      <c r="O159" s="188"/>
      <c r="P159" s="188"/>
    </row>
    <row r="160" spans="1:16" ht="21.75" customHeight="1" x14ac:dyDescent="0.3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IFERROR(__xludf.DUMMYFUNCTION("IMPORTRANGE(""https://docs.google.com/spreadsheets/d/1IYY_tgx_IHuhSq3AJ5eI5OnqOPBNLWSHKh2a30DoXe8/edit?usp=sharing"",""พัทลุง!J85"")"),51)</f>
        <v>51</v>
      </c>
      <c r="K160" s="167"/>
      <c r="L160" s="188"/>
      <c r="M160" s="188"/>
      <c r="N160" s="188"/>
      <c r="O160" s="188"/>
      <c r="P160" s="188"/>
    </row>
    <row r="161" spans="1:16" ht="21.75" customHeight="1" x14ac:dyDescent="0.3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2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IFERROR(__xludf.DUMMYFUNCTION("IMPORTRANGE(""https://docs.google.com/spreadsheets/d/1IYY_tgx_IHuhSq3AJ5eI5OnqOPBNLWSHKh2a30DoXe8/edit?usp=sharing"",""พัทลุง!J87"")"),0)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2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IFERROR(__xludf.DUMMYFUNCTION("IMPORTRANGE(""https://docs.google.com/spreadsheets/d/1IYY_tgx_IHuhSq3AJ5eI5OnqOPBNLWSHKh2a30DoXe8/edit?usp=sharing"",""พัทลุง!J88"")"),0)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2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2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2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2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2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2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IFERROR(__xludf.DUMMYFUNCTION("IMPORTRANGE(""https://docs.google.com/spreadsheets/d/1IYY_tgx_IHuhSq3AJ5eI5OnqOPBNLWSHKh2a30DoXe8/edit?usp=sharing"",""พัทลุง!J94"")"),0)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2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IFERROR(__xludf.DUMMYFUNCTION("IMPORTRANGE(""https://docs.google.com/spreadsheets/d/1IYY_tgx_IHuhSq3AJ5eI5OnqOPBNLWSHKh2a30DoXe8/edit?usp=sharing"",""พัทลุง!J95"")"),1)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2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IFERROR(__xludf.DUMMYFUNCTION("IMPORTRANGE(""https://docs.google.com/spreadsheets/d/1IYY_tgx_IHuhSq3AJ5eI5OnqOPBNLWSHKh2a30DoXe8/edit?usp=sharing"",""พัทลุง!J96"")"),1)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2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IFERROR(__xludf.DUMMYFUNCTION("IMPORTRANGE(""https://docs.google.com/spreadsheets/d/1IYY_tgx_IHuhSq3AJ5eI5OnqOPBNLWSHKh2a30DoXe8/edit?usp=sharing"",""พัทลุง!J97"")"),1)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2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IFERROR(__xludf.DUMMYFUNCTION("IMPORTRANGE(""https://docs.google.com/spreadsheets/d/1IYY_tgx_IHuhSq3AJ5eI5OnqOPBNLWSHKh2a30DoXe8/edit?usp=sharing"",""พัทลุง!I98"")"),2)</f>
        <v>2</v>
      </c>
      <c r="J173" s="195">
        <f ca="1">IFERROR(__xludf.DUMMYFUNCTION("IMPORTRANGE(""https://docs.google.com/spreadsheets/d/1IYY_tgx_IHuhSq3AJ5eI5OnqOPBNLWSHKh2a30DoXe8/edit?usp=sharing"",""พัทลุง!J98"")"),2)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2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IFERROR(__xludf.DUMMYFUNCTION("IMPORTRANGE(""https://docs.google.com/spreadsheets/d/1IYY_tgx_IHuhSq3AJ5eI5OnqOPBNLWSHKh2a30DoXe8/edit?usp=sharing"",""พัทลุง!J99"")"),0)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2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IFERROR(__xludf.DUMMYFUNCTION("IMPORTRANGE(""https://docs.google.com/spreadsheets/d/1IYY_tgx_IHuhSq3AJ5eI5OnqOPBNLWSHKh2a30DoXe8/edit?usp=sharing"",""พัทลุง!J100"")"),0)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2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2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2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2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2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2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IFERROR(__xludf.DUMMYFUNCTION("IMPORTRANGE(""https://docs.google.com/spreadsheets/d/1IYY_tgx_IHuhSq3AJ5eI5OnqOPBNLWSHKh2a30DoXe8/edit?usp=sharing"",""พัทลุง!J106"")"),0)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2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IFERROR(__xludf.DUMMYFUNCTION("IMPORTRANGE(""https://docs.google.com/spreadsheets/d/1IYY_tgx_IHuhSq3AJ5eI5OnqOPBNLWSHKh2a30DoXe8/edit?usp=sharing"",""พัทลุง!J107"")"),0)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2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IFERROR(__xludf.DUMMYFUNCTION("IMPORTRANGE(""https://docs.google.com/spreadsheets/d/1IYY_tgx_IHuhSq3AJ5eI5OnqOPBNLWSHKh2a30DoXe8/edit?usp=sharing"",""พัทลุง!J108"")"),0)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2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IFERROR(__xludf.DUMMYFUNCTION("IMPORTRANGE(""https://docs.google.com/spreadsheets/d/1IYY_tgx_IHuhSq3AJ5eI5OnqOPBNLWSHKh2a30DoXe8/edit?usp=sharing"",""พัทลุง!J109"")"),0)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2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IFERROR(__xludf.DUMMYFUNCTION("IMPORTRANGE(""https://docs.google.com/spreadsheets/d/1IYY_tgx_IHuhSq3AJ5eI5OnqOPBNLWSHKh2a30DoXe8/edit?usp=sharing"",""พัทลุง!I110"")"),0)</f>
        <v>0</v>
      </c>
      <c r="J185" s="210">
        <f ca="1">IFERROR(__xludf.DUMMYFUNCTION("IMPORTRANGE(""https://docs.google.com/spreadsheets/d/1IYY_tgx_IHuhSq3AJ5eI5OnqOPBNLWSHKh2a30DoXe8/edit?usp=sharing"",""พัทลุง!J110"")"),0)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2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IFERROR(__xludf.DUMMYFUNCTION("IMPORTRANGE(""https://docs.google.com/spreadsheets/d/1IYY_tgx_IHuhSq3AJ5eI5OnqOPBNLWSHKh2a30DoXe8/edit?usp=sharing"",""พัทลุง!I111"")"),0)</f>
        <v>0</v>
      </c>
      <c r="J186" s="210">
        <f ca="1">IFERROR(__xludf.DUMMYFUNCTION("IMPORTRANGE(""https://docs.google.com/spreadsheets/d/1IYY_tgx_IHuhSq3AJ5eI5OnqOPBNLWSHKh2a30DoXe8/edit?usp=sharing"",""พัทลุง!J111"")"),0)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2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IFERROR(__xludf.DUMMYFUNCTION("IMPORTRANGE(""https://docs.google.com/spreadsheets/d/1IYY_tgx_IHuhSq3AJ5eI5OnqOPBNLWSHKh2a30DoXe8/edit?usp=sharing"",""พัทลุง!J112"")"),0)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2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IFERROR(__xludf.DUMMYFUNCTION("IMPORTRANGE(""https://docs.google.com/spreadsheets/d/1IYY_tgx_IHuhSq3AJ5eI5OnqOPBNLWSHKh2a30DoXe8/edit?usp=sharing"",""พัทลุง!J113"")"),0)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2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IFERROR(__xludf.DUMMYFUNCTION("IMPORTRANGE(""https://docs.google.com/spreadsheets/d/1IYY_tgx_IHuhSq3AJ5eI5OnqOPBNLWSHKh2a30DoXe8/edit?usp=sharing"",""พัทลุง!J114"")"),10000)</f>
        <v>10000</v>
      </c>
      <c r="K189" s="291">
        <f ca="1">IF(I189&gt;0,J189*100/I189,0)</f>
        <v>100</v>
      </c>
      <c r="L189" s="283"/>
      <c r="M189" s="283"/>
      <c r="N189" s="283"/>
      <c r="O189" s="283"/>
      <c r="P189" s="283"/>
    </row>
    <row r="190" spans="1:16" ht="21.75" customHeight="1" x14ac:dyDescent="0.2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2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2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2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2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IFERROR(__xludf.DUMMYFUNCTION("IMPORTRANGE(""https://docs.google.com/spreadsheets/d/1IYY_tgx_IHuhSq3AJ5eI5OnqOPBNLWSHKh2a30DoXe8/edit?usp=sharing"",""พัทลุง!J119"")"),0)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2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IFERROR(__xludf.DUMMYFUNCTION("IMPORTRANGE(""https://docs.google.com/spreadsheets/d/1IYY_tgx_IHuhSq3AJ5eI5OnqOPBNLWSHKh2a30DoXe8/edit?usp=sharing"",""พัทลุง!J120"")"),1)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2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IFERROR(__xludf.DUMMYFUNCTION("IMPORTRANGE(""https://docs.google.com/spreadsheets/d/1IYY_tgx_IHuhSq3AJ5eI5OnqOPBNLWSHKh2a30DoXe8/edit?usp=sharing"",""พัทลุง!J121"")"),1)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2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IFERROR(__xludf.DUMMYFUNCTION("IMPORTRANGE(""https://docs.google.com/spreadsheets/d/1IYY_tgx_IHuhSq3AJ5eI5OnqOPBNLWSHKh2a30DoXe8/edit?usp=sharing"",""พัทลุง!J122"")"),1)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2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2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IFERROR(__xludf.DUMMYFUNCTION("IMPORTRANGE(""https://docs.google.com/spreadsheets/d/1IYY_tgx_IHuhSq3AJ5eI5OnqOPBNLWSHKh2a30DoXe8/edit?usp=sharing"",""พัทลุง!I124"")"),10000)</f>
        <v>10000</v>
      </c>
      <c r="J199" s="195">
        <f ca="1">IFERROR(__xludf.DUMMYFUNCTION("IMPORTRANGE(""https://docs.google.com/spreadsheets/d/1IYY_tgx_IHuhSq3AJ5eI5OnqOPBNLWSHKh2a30DoXe8/edit?usp=sharing"",""พัทลุง!J124"")"),10000)</f>
        <v>10000</v>
      </c>
      <c r="K199" s="167">
        <f t="shared" ref="K199:K201" ca="1" si="69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2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IFERROR(__xludf.DUMMYFUNCTION("IMPORTRANGE(""https://docs.google.com/spreadsheets/d/1IYY_tgx_IHuhSq3AJ5eI5OnqOPBNLWSHKh2a30DoXe8/edit?usp=sharing"",""พัทลุง!I125"")"),10000)</f>
        <v>10000</v>
      </c>
      <c r="J200" s="195">
        <f ca="1">IFERROR(__xludf.DUMMYFUNCTION("IMPORTRANGE(""https://docs.google.com/spreadsheets/d/1IYY_tgx_IHuhSq3AJ5eI5OnqOPBNLWSHKh2a30DoXe8/edit?usp=sharing"",""พัทลุง!J125"")"),10000)</f>
        <v>10000</v>
      </c>
      <c r="K200" s="167">
        <f t="shared" ca="1" si="69"/>
        <v>100</v>
      </c>
      <c r="L200" s="175"/>
      <c r="M200" s="175"/>
      <c r="N200" s="172"/>
      <c r="O200" s="175"/>
      <c r="P200" s="175"/>
    </row>
    <row r="201" spans="1:16" ht="21.75" customHeight="1" x14ac:dyDescent="0.2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IFERROR(__xludf.DUMMYFUNCTION("IMPORTRANGE(""https://docs.google.com/spreadsheets/d/1IYY_tgx_IHuhSq3AJ5eI5OnqOPBNLWSHKh2a30DoXe8/edit?usp=sharing"",""พัทลุง!I126"")"),0)</f>
        <v>0</v>
      </c>
      <c r="J201" s="195">
        <f ca="1">IFERROR(__xludf.DUMMYFUNCTION("IMPORTRANGE(""https://docs.google.com/spreadsheets/d/1IYY_tgx_IHuhSq3AJ5eI5OnqOPBNLWSHKh2a30DoXe8/edit?usp=sharing"",""พัทลุง!J126"")"),0)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2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IFERROR(__xludf.DUMMYFUNCTION("IMPORTRANGE(""https://docs.google.com/spreadsheets/d/1IYY_tgx_IHuhSq3AJ5eI5OnqOPBNLWSHKh2a30DoXe8/edit?usp=sharing"",""พัทลุง!J127"")"),0)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2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IFERROR(__xludf.DUMMYFUNCTION("IMPORTRANGE(""https://docs.google.com/spreadsheets/d/1IYY_tgx_IHuhSq3AJ5eI5OnqOPBNLWSHKh2a30DoXe8/edit?usp=sharing"",""พัทลุง!J128"")"),0)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2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2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2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2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2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2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IFERROR(__xludf.DUMMYFUNCTION("IMPORTRANGE(""https://docs.google.com/spreadsheets/d/1IYY_tgx_IHuhSq3AJ5eI5OnqOPBNLWSHKh2a30DoXe8/edit?usp=sharing"",""พัทลุง!J134"")"),0)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2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IFERROR(__xludf.DUMMYFUNCTION("IMPORTRANGE(""https://docs.google.com/spreadsheets/d/1IYY_tgx_IHuhSq3AJ5eI5OnqOPBNLWSHKh2a30DoXe8/edit?usp=sharing"",""พัทลุง!J135"")"),0)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2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IFERROR(__xludf.DUMMYFUNCTION("IMPORTRANGE(""https://docs.google.com/spreadsheets/d/1IYY_tgx_IHuhSq3AJ5eI5OnqOPBNLWSHKh2a30DoXe8/edit?usp=sharing"",""พัทลุง!J136"")"),0)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2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IFERROR(__xludf.DUMMYFUNCTION("IMPORTRANGE(""https://docs.google.com/spreadsheets/d/1IYY_tgx_IHuhSq3AJ5eI5OnqOPBNLWSHKh2a30DoXe8/edit?usp=sharing"",""พัทลุง!J137"")"),0)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2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IFERROR(__xludf.DUMMYFUNCTION("IMPORTRANGE(""https://docs.google.com/spreadsheets/d/1IYY_tgx_IHuhSq3AJ5eI5OnqOPBNLWSHKh2a30DoXe8/edit?usp=sharing"",""พัทลุง!I138"")"),0)</f>
        <v>0</v>
      </c>
      <c r="J213" s="210">
        <f ca="1">IFERROR(__xludf.DUMMYFUNCTION("IMPORTRANGE(""https://docs.google.com/spreadsheets/d/1IYY_tgx_IHuhSq3AJ5eI5OnqOPBNLWSHKh2a30DoXe8/edit?usp=sharing"",""พัทลุง!J138"")"),0)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2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2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IFERROR(__xludf.DUMMYFUNCTION("IMPORTRANGE(""https://docs.google.com/spreadsheets/d/1IYY_tgx_IHuhSq3AJ5eI5OnqOPBNLWSHKh2a30DoXe8/edit?usp=sharing"",""พัทลุง!I140"")"),0)</f>
        <v>0</v>
      </c>
      <c r="J215" s="210">
        <f ca="1">IFERROR(__xludf.DUMMYFUNCTION("IMPORTRANGE(""https://docs.google.com/spreadsheets/d/1IYY_tgx_IHuhSq3AJ5eI5OnqOPBNLWSHKh2a30DoXe8/edit?usp=sharing"",""พัทลุง!J140"")"),0)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2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IFERROR(__xludf.DUMMYFUNCTION("IMPORTRANGE(""https://docs.google.com/spreadsheets/d/1IYY_tgx_IHuhSq3AJ5eI5OnqOPBNLWSHKh2a30DoXe8/edit?usp=sharing"",""พัทลุง!I141"")"),0)</f>
        <v>0</v>
      </c>
      <c r="J216" s="210">
        <f ca="1">IFERROR(__xludf.DUMMYFUNCTION("IMPORTRANGE(""https://docs.google.com/spreadsheets/d/1IYY_tgx_IHuhSq3AJ5eI5OnqOPBNLWSHKh2a30DoXe8/edit?usp=sharing"",""พัทลุง!J141"")"),0)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2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IFERROR(__xludf.DUMMYFUNCTION("IMPORTRANGE(""https://docs.google.com/spreadsheets/d/1IYY_tgx_IHuhSq3AJ5eI5OnqOPBNLWSHKh2a30DoXe8/edit?usp=sharing"",""พัทลุง!J142"")"),0)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2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IFERROR(__xludf.DUMMYFUNCTION("IMPORTRANGE(""https://docs.google.com/spreadsheets/d/1IYY_tgx_IHuhSq3AJ5eI5OnqOPBNLWSHKh2a30DoXe8/edit?usp=sharing"",""พัทลุง!J143"")"),0)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2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IFERROR(__xludf.DUMMYFUNCTION("IMPORTRANGE(""https://docs.google.com/spreadsheets/d/1IYY_tgx_IHuhSq3AJ5eI5OnqOPBNLWSHKh2a30DoXe8/edit?usp=sharing"",""พัทลุง!I144"")"),13)</f>
        <v>13</v>
      </c>
      <c r="J219" s="273">
        <f ca="1">IFERROR(__xludf.DUMMYFUNCTION("IMPORTRANGE(""https://docs.google.com/spreadsheets/d/1IYY_tgx_IHuhSq3AJ5eI5OnqOPBNLWSHKh2a30DoXe8/edit?usp=sharing"",""พัทลุง!J144"")"),13)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3">
      <c r="A220" s="150"/>
      <c r="B220" s="151"/>
      <c r="C220" s="152" t="s">
        <v>16</v>
      </c>
      <c r="D220" s="572" t="s">
        <v>17</v>
      </c>
      <c r="E220" s="573"/>
      <c r="F220" s="573"/>
      <c r="G220" s="573"/>
      <c r="H220" s="153" t="s">
        <v>12</v>
      </c>
      <c r="I220" s="166"/>
      <c r="J220" s="166"/>
      <c r="K220" s="167"/>
      <c r="L220" s="156">
        <f t="shared" ref="L220:N220" ca="1" si="71">L221+L222</f>
        <v>19295</v>
      </c>
      <c r="M220" s="156">
        <f t="shared" ca="1" si="71"/>
        <v>19295</v>
      </c>
      <c r="N220" s="156">
        <f t="shared" ca="1" si="71"/>
        <v>19295</v>
      </c>
      <c r="O220" s="155">
        <f t="shared" ref="O220:O222" ca="1" si="72">IF(L220&gt;0,N220*100/L220,0)</f>
        <v>100</v>
      </c>
      <c r="P220" s="155">
        <f t="shared" ref="P220:P222" ca="1" si="73">IF(M220&gt;0,N220*100/M220,0)</f>
        <v>100</v>
      </c>
    </row>
    <row r="221" spans="1:16" ht="21.75" customHeight="1" x14ac:dyDescent="0.3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3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19295</v>
      </c>
      <c r="M222" s="161">
        <f t="shared" ca="1" si="75"/>
        <v>19295</v>
      </c>
      <c r="N222" s="161">
        <f t="shared" ca="1" si="75"/>
        <v>19295</v>
      </c>
      <c r="O222" s="160">
        <f t="shared" ca="1" si="72"/>
        <v>100</v>
      </c>
      <c r="P222" s="160">
        <f t="shared" ca="1" si="73"/>
        <v>100</v>
      </c>
    </row>
    <row r="223" spans="1:16" ht="21.75" customHeight="1" x14ac:dyDescent="0.3">
      <c r="A223" s="162"/>
      <c r="B223" s="163"/>
      <c r="C223" s="163" t="s">
        <v>16</v>
      </c>
      <c r="D223" s="574" t="s">
        <v>20</v>
      </c>
      <c r="E223" s="575"/>
      <c r="F223" s="575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2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IFERROR(__xludf.DUMMYFUNCTION("IMPORTRANGE(""https://docs.google.com/spreadsheets/d/1Yj_ptqi66GCucihVvJfMjLAmec39IyEx_6qawtMGysU/edit?usp=sharing"",""สบก!BS88"")"),19295)</f>
        <v>19295</v>
      </c>
      <c r="N224" s="174">
        <f ca="1">IFERROR(__xludf.DUMMYFUNCTION("IMPORTRANGE(""https://docs.google.com/spreadsheets/d/1Yj_ptqi66GCucihVvJfMjLAmec39IyEx_6qawtMGysU/edit?usp=sharing"",""สบก!BT88"")"),19295)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2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IFERROR(__xludf.DUMMYFUNCTION("IMPORTRANGE(""https://docs.google.com/spreadsheets/d/1Yj_ptqi66GCucihVvJfMjLAmec39IyEx_6qawtMGysU/edit?usp=sharing"",""สบก!BO88"")"),0)</f>
        <v>0</v>
      </c>
      <c r="M225" s="172"/>
      <c r="N225" s="172"/>
      <c r="O225" s="175"/>
      <c r="P225" s="175"/>
    </row>
    <row r="226" spans="1:16" ht="21.75" customHeight="1" x14ac:dyDescent="0.2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IFERROR(__xludf.DUMMYFUNCTION("IMPORTRANGE(""https://docs.google.com/spreadsheets/d/1Yj_ptqi66GCucihVvJfMjLAmec39IyEx_6qawtMGysU/edit?usp=sharing"",""สบก!BP88"")"),19295)</f>
        <v>19295</v>
      </c>
      <c r="M226" s="172"/>
      <c r="N226" s="172"/>
      <c r="O226" s="175"/>
      <c r="P226" s="175"/>
    </row>
    <row r="227" spans="1:16" ht="21.75" customHeight="1" x14ac:dyDescent="0.3">
      <c r="A227" s="177"/>
      <c r="B227" s="81"/>
      <c r="C227" s="82" t="s">
        <v>16</v>
      </c>
      <c r="D227" s="576" t="s">
        <v>23</v>
      </c>
      <c r="E227" s="575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3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2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IFERROR(__xludf.DUMMYFUNCTION("IMPORTRANGE(""https://docs.google.com/spreadsheets/d/1IYY_tgx_IHuhSq3AJ5eI5OnqOPBNLWSHKh2a30DoXe8/edit?usp=sharing"",""พัทลุง!I149"")"),13)</f>
        <v>13</v>
      </c>
      <c r="J229" s="273">
        <f ca="1">IFERROR(__xludf.DUMMYFUNCTION("IMPORTRANGE(""https://docs.google.com/spreadsheets/d/1IYY_tgx_IHuhSq3AJ5eI5OnqOPBNLWSHKh2a30DoXe8/edit?usp=sharing"",""พัทลุง!J149"")"),13)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2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2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IFERROR(__xludf.DUMMYFUNCTION("IMPORTRANGE(""https://docs.google.com/spreadsheets/d/1IYY_tgx_IHuhSq3AJ5eI5OnqOPBNLWSHKh2a30DoXe8/edit?usp=sharing"",""พัทลุง!J151"")"),0)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2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IFERROR(__xludf.DUMMYFUNCTION("IMPORTRANGE(""https://docs.google.com/spreadsheets/d/1IYY_tgx_IHuhSq3AJ5eI5OnqOPBNLWSHKh2a30DoXe8/edit?usp=sharing"",""พัทลุง!J152"")"),1)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2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IFERROR(__xludf.DUMMYFUNCTION("IMPORTRANGE(""https://docs.google.com/spreadsheets/d/1IYY_tgx_IHuhSq3AJ5eI5OnqOPBNLWSHKh2a30DoXe8/edit?usp=sharing"",""พัทลุง!J153"")"),1)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2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IFERROR(__xludf.DUMMYFUNCTION("IMPORTRANGE(""https://docs.google.com/spreadsheets/d/1IYY_tgx_IHuhSq3AJ5eI5OnqOPBNLWSHKh2a30DoXe8/edit?usp=sharing"",""พัทลุง!J154"")"),1)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2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IFERROR(__xludf.DUMMYFUNCTION("IMPORTRANGE(""https://docs.google.com/spreadsheets/d/1IYY_tgx_IHuhSq3AJ5eI5OnqOPBNLWSHKh2a30DoXe8/edit?usp=sharing"",""พัทลุง!I155"")"),13)</f>
        <v>13</v>
      </c>
      <c r="J235" s="195">
        <f ca="1">IFERROR(__xludf.DUMMYFUNCTION("IMPORTRANGE(""https://docs.google.com/spreadsheets/d/1IYY_tgx_IHuhSq3AJ5eI5OnqOPBNLWSHKh2a30DoXe8/edit?usp=sharing"",""พัทลุง!J155"")"),13)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2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IFERROR(__xludf.DUMMYFUNCTION("IMPORTRANGE(""https://docs.google.com/spreadsheets/d/1IYY_tgx_IHuhSq3AJ5eI5OnqOPBNLWSHKh2a30DoXe8/edit?usp=sharing"",""พัทลุง!J156"")"),1)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2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IFERROR(__xludf.DUMMYFUNCTION("IMPORTRANGE(""https://docs.google.com/spreadsheets/d/1IYY_tgx_IHuhSq3AJ5eI5OnqOPBNLWSHKh2a30DoXe8/edit?usp=sharing"",""พัทลุง!J157"")"),1)</f>
        <v>1</v>
      </c>
      <c r="K237" s="167"/>
      <c r="L237" s="188"/>
      <c r="M237" s="188"/>
      <c r="N237" s="188"/>
      <c r="O237" s="188"/>
      <c r="P237" s="188"/>
    </row>
    <row r="238" spans="1:16" ht="21.75" customHeight="1" x14ac:dyDescent="0.2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IFERROR(__xludf.DUMMYFUNCTION("IMPORTRANGE(""https://docs.google.com/spreadsheets/d/1IYY_tgx_IHuhSq3AJ5eI5OnqOPBNLWSHKh2a30DoXe8/edit?usp=sharing"",""พัทลุง!I158"")"),0)</f>
        <v>0</v>
      </c>
      <c r="J238" s="273">
        <f ca="1">IFERROR(__xludf.DUMMYFUNCTION("IMPORTRANGE(""https://docs.google.com/spreadsheets/d/1IYY_tgx_IHuhSq3AJ5eI5OnqOPBNLWSHKh2a30DoXe8/edit?usp=sharing"",""พัทลุง!J158"")"),0)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2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2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IFERROR(__xludf.DUMMYFUNCTION("IMPORTRANGE(""https://docs.google.com/spreadsheets/d/1IYY_tgx_IHuhSq3AJ5eI5OnqOPBNLWSHKh2a30DoXe8/edit?usp=sharing"",""พัทลุง!J159"")"),"")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2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IFERROR(__xludf.DUMMYFUNCTION("IMPORTRANGE(""https://docs.google.com/spreadsheets/d/1IYY_tgx_IHuhSq3AJ5eI5OnqOPBNLWSHKh2a30DoXe8/edit?usp=sharing"",""พัทลุง!J161"")"),0)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2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IFERROR(__xludf.DUMMYFUNCTION("IMPORTRANGE(""https://docs.google.com/spreadsheets/d/1IYY_tgx_IHuhSq3AJ5eI5OnqOPBNLWSHKh2a30DoXe8/edit?usp=sharing"",""พัทลุง!J162"")"),0)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2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IFERROR(__xludf.DUMMYFUNCTION("IMPORTRANGE(""https://docs.google.com/spreadsheets/d/1IYY_tgx_IHuhSq3AJ5eI5OnqOPBNLWSHKh2a30DoXe8/edit?usp=sharing"",""พัทลุง!J163"")"),0)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2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IFERROR(__xludf.DUMMYFUNCTION("IMPORTRANGE(""https://docs.google.com/spreadsheets/d/1IYY_tgx_IHuhSq3AJ5eI5OnqOPBNLWSHKh2a30DoXe8/edit?usp=sharing"",""พัทลุง!I164"")"),0)</f>
        <v>0</v>
      </c>
      <c r="J244" s="194">
        <f ca="1">IFERROR(__xludf.DUMMYFUNCTION("IMPORTRANGE(""https://docs.google.com/spreadsheets/d/1IYY_tgx_IHuhSq3AJ5eI5OnqOPBNLWSHKh2a30DoXe8/edit?usp=sharing"",""พัทลุง!J164"")"),0)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2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IFERROR(__xludf.DUMMYFUNCTION("IMPORTRANGE(""https://docs.google.com/spreadsheets/d/1IYY_tgx_IHuhSq3AJ5eI5OnqOPBNLWSHKh2a30DoXe8/edit?usp=sharing"",""พัทลุง!J165"")"),0)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2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2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2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2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3">
      <c r="A250" s="150"/>
      <c r="B250" s="151"/>
      <c r="C250" s="152" t="s">
        <v>16</v>
      </c>
      <c r="D250" s="572" t="s">
        <v>17</v>
      </c>
      <c r="E250" s="573"/>
      <c r="F250" s="573"/>
      <c r="G250" s="573"/>
      <c r="H250" s="153" t="s">
        <v>12</v>
      </c>
      <c r="I250" s="166"/>
      <c r="J250" s="166"/>
      <c r="K250" s="167"/>
      <c r="L250" s="156">
        <f t="shared" ref="L250:N250" ca="1" si="76">L251+L252</f>
        <v>203400</v>
      </c>
      <c r="M250" s="156">
        <f t="shared" ca="1" si="76"/>
        <v>203400</v>
      </c>
      <c r="N250" s="156">
        <f t="shared" ca="1" si="76"/>
        <v>131385.60000000001</v>
      </c>
      <c r="O250" s="155">
        <f t="shared" ref="O250:O252" ca="1" si="77">IF(L250&gt;0,N250*100/L250,0)</f>
        <v>64.594690265486719</v>
      </c>
      <c r="P250" s="155">
        <f t="shared" ref="P250:P252" ca="1" si="78">IF(M250&gt;0,N250*100/M250,0)</f>
        <v>64.594690265486719</v>
      </c>
    </row>
    <row r="251" spans="1:16" ht="21.75" customHeight="1" x14ac:dyDescent="0.3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3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203400</v>
      </c>
      <c r="M252" s="161">
        <f t="shared" ca="1" si="80"/>
        <v>203400</v>
      </c>
      <c r="N252" s="161">
        <f t="shared" ca="1" si="80"/>
        <v>131385.60000000001</v>
      </c>
      <c r="O252" s="160">
        <f t="shared" ca="1" si="77"/>
        <v>64.594690265486719</v>
      </c>
      <c r="P252" s="160">
        <f t="shared" ca="1" si="78"/>
        <v>64.594690265486719</v>
      </c>
    </row>
    <row r="253" spans="1:16" ht="21.75" customHeight="1" x14ac:dyDescent="0.3">
      <c r="A253" s="162"/>
      <c r="B253" s="163"/>
      <c r="C253" s="163" t="s">
        <v>16</v>
      </c>
      <c r="D253" s="574" t="s">
        <v>20</v>
      </c>
      <c r="E253" s="575"/>
      <c r="F253" s="575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2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203400</v>
      </c>
      <c r="M254" s="173">
        <f ca="1">IFERROR(__xludf.DUMMYFUNCTION("IMPORTRANGE(""https://docs.google.com/spreadsheets/d/1Yj_ptqi66GCucihVvJfMjLAmec39IyEx_6qawtMGysU/edit?usp=sharing"",""สบก!CB88"")"),203400)</f>
        <v>203400</v>
      </c>
      <c r="N254" s="174">
        <f ca="1">IFERROR(__xludf.DUMMYFUNCTION("IMPORTRANGE(""https://docs.google.com/spreadsheets/d/1Yj_ptqi66GCucihVvJfMjLAmec39IyEx_6qawtMGysU/edit?usp=sharing"",""สบก!CC88"")"),131385.6)</f>
        <v>131385.60000000001</v>
      </c>
      <c r="O254" s="175">
        <f ca="1">IF(L254&gt;0,N254*100/L254,0)</f>
        <v>64.594690265486719</v>
      </c>
      <c r="P254" s="175">
        <f ca="1">IF(M254&gt;0,N254*100/M254,0)</f>
        <v>64.594690265486719</v>
      </c>
    </row>
    <row r="255" spans="1:16" ht="21.75" customHeight="1" x14ac:dyDescent="0.2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IFERROR(__xludf.DUMMYFUNCTION("IMPORTRANGE(""https://docs.google.com/spreadsheets/d/1Yj_ptqi66GCucihVvJfMjLAmec39IyEx_6qawtMGysU/edit?usp=sharing"",""สบก!BX88"")"),132000)</f>
        <v>132000</v>
      </c>
      <c r="M255" s="172"/>
      <c r="N255" s="172"/>
      <c r="O255" s="175"/>
      <c r="P255" s="175"/>
    </row>
    <row r="256" spans="1:16" ht="21.75" customHeight="1" x14ac:dyDescent="0.2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IFERROR(__xludf.DUMMYFUNCTION("IMPORTRANGE(""https://docs.google.com/spreadsheets/d/1Yj_ptqi66GCucihVvJfMjLAmec39IyEx_6qawtMGysU/edit?usp=sharing"",""สบก!BY88"")"),71400)</f>
        <v>71400</v>
      </c>
      <c r="M256" s="172"/>
      <c r="N256" s="172"/>
      <c r="O256" s="175"/>
      <c r="P256" s="175"/>
    </row>
    <row r="257" spans="1:16" ht="21.75" customHeight="1" x14ac:dyDescent="0.3">
      <c r="A257" s="177"/>
      <c r="B257" s="81"/>
      <c r="C257" s="82" t="s">
        <v>16</v>
      </c>
      <c r="D257" s="576" t="s">
        <v>23</v>
      </c>
      <c r="E257" s="575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3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2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2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IFERROR(__xludf.DUMMYFUNCTION("IMPORTRANGE(""https://docs.google.com/spreadsheets/d/1IYY_tgx_IHuhSq3AJ5eI5OnqOPBNLWSHKh2a30DoXe8/edit?usp=sharing"",""พัทลุง!J175"")"),0)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2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IFERROR(__xludf.DUMMYFUNCTION("IMPORTRANGE(""https://docs.google.com/spreadsheets/d/1IYY_tgx_IHuhSq3AJ5eI5OnqOPBNLWSHKh2a30DoXe8/edit?usp=sharing"",""พัทลุง!J176"")"),1)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2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IFERROR(__xludf.DUMMYFUNCTION("IMPORTRANGE(""https://docs.google.com/spreadsheets/d/1IYY_tgx_IHuhSq3AJ5eI5OnqOPBNLWSHKh2a30DoXe8/edit?usp=sharing"",""พัทลุง!J177"")"),1)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2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IFERROR(__xludf.DUMMYFUNCTION("IMPORTRANGE(""https://docs.google.com/spreadsheets/d/1IYY_tgx_IHuhSq3AJ5eI5OnqOPBNLWSHKh2a30DoXe8/edit?usp=sharing"",""พัทลุง!J178"")"),1)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2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IFERROR(__xludf.DUMMYFUNCTION("IMPORTRANGE(""https://docs.google.com/spreadsheets/d/1IYY_tgx_IHuhSq3AJ5eI5OnqOPBNLWSHKh2a30DoXe8/edit?usp=sharing"",""พัทลุง!I179"")"),1)</f>
        <v>1</v>
      </c>
      <c r="J264" s="195">
        <f ca="1">IFERROR(__xludf.DUMMYFUNCTION("IMPORTRANGE(""https://docs.google.com/spreadsheets/d/1IYY_tgx_IHuhSq3AJ5eI5OnqOPBNLWSHKh2a30DoXe8/edit?usp=sharing"",""พัทลุง!J179"")"),1)</f>
        <v>1</v>
      </c>
      <c r="K264" s="167">
        <f t="shared" ref="K264:K267" ca="1" si="8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2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IFERROR(__xludf.DUMMYFUNCTION("IMPORTRANGE(""https://docs.google.com/spreadsheets/d/1IYY_tgx_IHuhSq3AJ5eI5OnqOPBNLWSHKh2a30DoXe8/edit?usp=sharing"",""พัทลุง!I180"")"),20)</f>
        <v>20</v>
      </c>
      <c r="J265" s="195">
        <f ca="1">IFERROR(__xludf.DUMMYFUNCTION("IMPORTRANGE(""https://docs.google.com/spreadsheets/d/1IYY_tgx_IHuhSq3AJ5eI5OnqOPBNLWSHKh2a30DoXe8/edit?usp=sharing"",""พัทลุง!J180"")"),20)</f>
        <v>20</v>
      </c>
      <c r="K265" s="167">
        <f t="shared" ca="1" si="81"/>
        <v>100</v>
      </c>
      <c r="L265" s="188"/>
      <c r="M265" s="188"/>
      <c r="N265" s="188"/>
      <c r="O265" s="188"/>
      <c r="P265" s="188"/>
    </row>
    <row r="266" spans="1:16" ht="21.75" customHeight="1" x14ac:dyDescent="0.2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IFERROR(__xludf.DUMMYFUNCTION("IMPORTRANGE(""https://docs.google.com/spreadsheets/d/1IYY_tgx_IHuhSq3AJ5eI5OnqOPBNLWSHKh2a30DoXe8/edit?usp=sharing"",""พัทลุง!I181"")"),20)</f>
        <v>20</v>
      </c>
      <c r="J266" s="195">
        <f ca="1">IFERROR(__xludf.DUMMYFUNCTION("IMPORTRANGE(""https://docs.google.com/spreadsheets/d/1IYY_tgx_IHuhSq3AJ5eI5OnqOPBNLWSHKh2a30DoXe8/edit?usp=sharing"",""พัทลุง!J181"")"),0)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2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IFERROR(__xludf.DUMMYFUNCTION("IMPORTRANGE(""https://docs.google.com/spreadsheets/d/1IYY_tgx_IHuhSq3AJ5eI5OnqOPBNLWSHKh2a30DoXe8/edit?usp=sharing"",""พัทลุง!I182"")"),1)</f>
        <v>1</v>
      </c>
      <c r="J267" s="195">
        <f ca="1">IFERROR(__xludf.DUMMYFUNCTION("IMPORTRANGE(""https://docs.google.com/spreadsheets/d/1IYY_tgx_IHuhSq3AJ5eI5OnqOPBNLWSHKh2a30DoXe8/edit?usp=sharing"",""พัทลุง!J182"")"),1)</f>
        <v>1</v>
      </c>
      <c r="K267" s="167">
        <f t="shared" ca="1" si="81"/>
        <v>100</v>
      </c>
      <c r="L267" s="188"/>
      <c r="M267" s="188"/>
      <c r="N267" s="188"/>
      <c r="O267" s="188"/>
      <c r="P267" s="188"/>
    </row>
    <row r="268" spans="1:16" ht="21.75" customHeight="1" x14ac:dyDescent="0.2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IFERROR(__xludf.DUMMYFUNCTION("IMPORTRANGE(""https://docs.google.com/spreadsheets/d/1IYY_tgx_IHuhSq3AJ5eI5OnqOPBNLWSHKh2a30DoXe8/edit?usp=sharing"",""พัทลุง!J183"")"),0)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2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IFERROR(__xludf.DUMMYFUNCTION("IMPORTRANGE(""https://docs.google.com/spreadsheets/d/1IYY_tgx_IHuhSq3AJ5eI5OnqOPBNLWSHKh2a30DoXe8/edit?usp=sharing"",""พัทลุง!J184"")"),0)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2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3">
      <c r="A271" s="150"/>
      <c r="B271" s="151"/>
      <c r="C271" s="152" t="s">
        <v>16</v>
      </c>
      <c r="D271" s="572" t="s">
        <v>17</v>
      </c>
      <c r="E271" s="573"/>
      <c r="F271" s="573"/>
      <c r="G271" s="573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3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3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3">
      <c r="A274" s="162"/>
      <c r="B274" s="163"/>
      <c r="C274" s="163" t="s">
        <v>16</v>
      </c>
      <c r="D274" s="574" t="s">
        <v>20</v>
      </c>
      <c r="E274" s="575"/>
      <c r="F274" s="575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2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IFERROR(__xludf.DUMMYFUNCTION("IMPORTRANGE(""https://docs.google.com/spreadsheets/d/1Yj_ptqi66GCucihVvJfMjLAmec39IyEx_6qawtMGysU/edit?usp=sharing"",""สบก!CK88"")"),0)</f>
        <v>0</v>
      </c>
      <c r="N275" s="174">
        <f ca="1">IFERROR(__xludf.DUMMYFUNCTION("IMPORTRANGE(""https://docs.google.com/spreadsheets/d/1Yj_ptqi66GCucihVvJfMjLAmec39IyEx_6qawtMGysU/edit?usp=sharing"",""สบก!CL88"")"),0)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2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IFERROR(__xludf.DUMMYFUNCTION("IMPORTRANGE(""https://docs.google.com/spreadsheets/d/1Yj_ptqi66GCucihVvJfMjLAmec39IyEx_6qawtMGysU/edit?usp=sharing"",""สบก!CG88"")"),0)</f>
        <v>0</v>
      </c>
      <c r="M276" s="172"/>
      <c r="N276" s="172"/>
      <c r="O276" s="175"/>
      <c r="P276" s="175"/>
    </row>
    <row r="277" spans="1:16" ht="21.75" customHeight="1" x14ac:dyDescent="0.2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IFERROR(__xludf.DUMMYFUNCTION("IMPORTRANGE(""https://docs.google.com/spreadsheets/d/1Yj_ptqi66GCucihVvJfMjLAmec39IyEx_6qawtMGysU/edit?usp=sharing"",""สบก!CH88"")"),0)</f>
        <v>0</v>
      </c>
      <c r="M277" s="172"/>
      <c r="N277" s="172"/>
      <c r="O277" s="175"/>
      <c r="P277" s="175"/>
    </row>
    <row r="278" spans="1:16" ht="21.75" customHeight="1" x14ac:dyDescent="0.3">
      <c r="A278" s="177"/>
      <c r="B278" s="81"/>
      <c r="C278" s="82" t="s">
        <v>16</v>
      </c>
      <c r="D278" s="576" t="s">
        <v>23</v>
      </c>
      <c r="E278" s="575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3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2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2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IFERROR(__xludf.DUMMYFUNCTION("IMPORTRANGE(""https://docs.google.com/spreadsheets/d/1IYY_tgx_IHuhSq3AJ5eI5OnqOPBNLWSHKh2a30DoXe8/edit?usp=sharing"",""พัทลุง!J191"")"),0)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2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IFERROR(__xludf.DUMMYFUNCTION("IMPORTRANGE(""https://docs.google.com/spreadsheets/d/1IYY_tgx_IHuhSq3AJ5eI5OnqOPBNLWSHKh2a30DoXe8/edit?usp=sharing"",""พัทลุง!J192"")"),0)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2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IFERROR(__xludf.DUMMYFUNCTION("IMPORTRANGE(""https://docs.google.com/spreadsheets/d/1IYY_tgx_IHuhSq3AJ5eI5OnqOPBNLWSHKh2a30DoXe8/edit?usp=sharing"",""พัทลุง!J193"")"),0)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2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IFERROR(__xludf.DUMMYFUNCTION("IMPORTRANGE(""https://docs.google.com/spreadsheets/d/1IYY_tgx_IHuhSq3AJ5eI5OnqOPBNLWSHKh2a30DoXe8/edit?usp=sharing"",""พัทลุง!J194"")"),0)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2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IFERROR(__xludf.DUMMYFUNCTION("IMPORTRANGE(""https://docs.google.com/spreadsheets/d/1IYY_tgx_IHuhSq3AJ5eI5OnqOPBNLWSHKh2a30DoXe8/edit?usp=sharing"",""พัทลุง!I195"")"),0)</f>
        <v>0</v>
      </c>
      <c r="J285" s="195">
        <f ca="1">IFERROR(__xludf.DUMMYFUNCTION("IMPORTRANGE(""https://docs.google.com/spreadsheets/d/1IYY_tgx_IHuhSq3AJ5eI5OnqOPBNLWSHKh2a30DoXe8/edit?usp=sharing"",""พัทลุง!J195"")"),0)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2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IFERROR(__xludf.DUMMYFUNCTION("IMPORTRANGE(""https://docs.google.com/spreadsheets/d/1IYY_tgx_IHuhSq3AJ5eI5OnqOPBNLWSHKh2a30DoXe8/edit?usp=sharing"",""พัทลุง!J196"")"),0)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2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IFERROR(__xludf.DUMMYFUNCTION("IMPORTRANGE(""https://docs.google.com/spreadsheets/d/1IYY_tgx_IHuhSq3AJ5eI5OnqOPBNLWSHKh2a30DoXe8/edit?usp=sharing"",""พัทลุง!J197"")"),0)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2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2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3">
      <c r="A290" s="150"/>
      <c r="B290" s="151"/>
      <c r="C290" s="152" t="s">
        <v>16</v>
      </c>
      <c r="D290" s="572" t="s">
        <v>17</v>
      </c>
      <c r="E290" s="573"/>
      <c r="F290" s="573"/>
      <c r="G290" s="573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3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3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3">
      <c r="A293" s="162"/>
      <c r="B293" s="163"/>
      <c r="C293" s="163" t="s">
        <v>16</v>
      </c>
      <c r="D293" s="574" t="s">
        <v>20</v>
      </c>
      <c r="E293" s="575"/>
      <c r="F293" s="575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2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IFERROR(__xludf.DUMMYFUNCTION("IMPORTRANGE(""https://docs.google.com/spreadsheets/d/1Yj_ptqi66GCucihVvJfMjLAmec39IyEx_6qawtMGysU/edit?usp=sharing"",""สบก!CT88"")"),0)</f>
        <v>0</v>
      </c>
      <c r="N294" s="174">
        <f ca="1">IFERROR(__xludf.DUMMYFUNCTION("IMPORTRANGE(""https://docs.google.com/spreadsheets/d/1Yj_ptqi66GCucihVvJfMjLAmec39IyEx_6qawtMGysU/edit?usp=sharing"",""สบก!CU88"")"),0)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2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IFERROR(__xludf.DUMMYFUNCTION("IMPORTRANGE(""https://docs.google.com/spreadsheets/d/1Yj_ptqi66GCucihVvJfMjLAmec39IyEx_6qawtMGysU/edit?usp=sharing"",""สบก!CP88"")"),0)</f>
        <v>0</v>
      </c>
      <c r="M295" s="172"/>
      <c r="N295" s="172"/>
      <c r="O295" s="175"/>
      <c r="P295" s="175"/>
    </row>
    <row r="296" spans="1:16" ht="21.75" customHeight="1" x14ac:dyDescent="0.2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IFERROR(__xludf.DUMMYFUNCTION("IMPORTRANGE(""https://docs.google.com/spreadsheets/d/1Yj_ptqi66GCucihVvJfMjLAmec39IyEx_6qawtMGysU/edit?usp=sharing"",""สบก!CQ88"")"),0)</f>
        <v>0</v>
      </c>
      <c r="M296" s="172"/>
      <c r="N296" s="172"/>
      <c r="O296" s="175"/>
      <c r="P296" s="175"/>
    </row>
    <row r="297" spans="1:16" ht="21.75" customHeight="1" x14ac:dyDescent="0.3">
      <c r="A297" s="177"/>
      <c r="B297" s="81"/>
      <c r="C297" s="82" t="s">
        <v>16</v>
      </c>
      <c r="D297" s="576" t="s">
        <v>23</v>
      </c>
      <c r="E297" s="575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3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2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2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IFERROR(__xludf.DUMMYFUNCTION("IMPORTRANGE(""https://docs.google.com/spreadsheets/d/1IYY_tgx_IHuhSq3AJ5eI5OnqOPBNLWSHKh2a30DoXe8/edit?usp=sharing"",""พัทลุง!J205"")"),0)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2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IFERROR(__xludf.DUMMYFUNCTION("IMPORTRANGE(""https://docs.google.com/spreadsheets/d/1IYY_tgx_IHuhSq3AJ5eI5OnqOPBNLWSHKh2a30DoXe8/edit?usp=sharing"",""พัทลุง!J206"")"),0)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2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IFERROR(__xludf.DUMMYFUNCTION("IMPORTRANGE(""https://docs.google.com/spreadsheets/d/1IYY_tgx_IHuhSq3AJ5eI5OnqOPBNLWSHKh2a30DoXe8/edit?usp=sharing"",""พัทลุง!J207"")"),0)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2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IFERROR(__xludf.DUMMYFUNCTION("IMPORTRANGE(""https://docs.google.com/spreadsheets/d/1IYY_tgx_IHuhSq3AJ5eI5OnqOPBNLWSHKh2a30DoXe8/edit?usp=sharing"",""พัทลุง!J208"")"),0)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2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IFERROR(__xludf.DUMMYFUNCTION("IMPORTRANGE(""https://docs.google.com/spreadsheets/d/1IYY_tgx_IHuhSq3AJ5eI5OnqOPBNLWSHKh2a30DoXe8/edit?usp=sharing"",""พัทลุง!I209"")"),0)</f>
        <v>0</v>
      </c>
      <c r="J304" s="210">
        <f ca="1">IFERROR(__xludf.DUMMYFUNCTION("IMPORTRANGE(""https://docs.google.com/spreadsheets/d/1IYY_tgx_IHuhSq3AJ5eI5OnqOPBNLWSHKh2a30DoXe8/edit?usp=sharing"",""พัทลุง!J209"")"),0)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2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2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IFERROR(__xludf.DUMMYFUNCTION("IMPORTRANGE(""https://docs.google.com/spreadsheets/d/1IYY_tgx_IHuhSq3AJ5eI5OnqOPBNLWSHKh2a30DoXe8/edit?usp=sharing"",""พัทลุง!I211"")"),0)</f>
        <v>0</v>
      </c>
      <c r="J306" s="210">
        <f ca="1">IFERROR(__xludf.DUMMYFUNCTION("IMPORTRANGE(""https://docs.google.com/spreadsheets/d/1IYY_tgx_IHuhSq3AJ5eI5OnqOPBNLWSHKh2a30DoXe8/edit?usp=sharing"",""พัทลุง!J211"")"),0)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2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IFERROR(__xludf.DUMMYFUNCTION("IMPORTRANGE(""https://docs.google.com/spreadsheets/d/1IYY_tgx_IHuhSq3AJ5eI5OnqOPBNLWSHKh2a30DoXe8/edit?usp=sharing"",""พัทลุง!J212"")"),0)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2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2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3">
      <c r="A310" s="150"/>
      <c r="B310" s="151"/>
      <c r="C310" s="152" t="s">
        <v>16</v>
      </c>
      <c r="D310" s="572" t="s">
        <v>17</v>
      </c>
      <c r="E310" s="573"/>
      <c r="F310" s="573"/>
      <c r="G310" s="573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3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3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3">
      <c r="A313" s="162"/>
      <c r="B313" s="163"/>
      <c r="C313" s="163" t="s">
        <v>16</v>
      </c>
      <c r="D313" s="574" t="s">
        <v>20</v>
      </c>
      <c r="E313" s="575"/>
      <c r="F313" s="575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2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IFERROR(__xludf.DUMMYFUNCTION("IMPORTRANGE(""https://docs.google.com/spreadsheets/d/1Yj_ptqi66GCucihVvJfMjLAmec39IyEx_6qawtMGysU/edit?usp=sharing"",""สบก!DC88"")"),0)</f>
        <v>0</v>
      </c>
      <c r="N314" s="174">
        <f ca="1">IFERROR(__xludf.DUMMYFUNCTION("IMPORTRANGE(""https://docs.google.com/spreadsheets/d/1Yj_ptqi66GCucihVvJfMjLAmec39IyEx_6qawtMGysU/edit?usp=sharing"",""สบก!DD88"")"),0)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2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IFERROR(__xludf.DUMMYFUNCTION("IMPORTRANGE(""https://docs.google.com/spreadsheets/d/1Yj_ptqi66GCucihVvJfMjLAmec39IyEx_6qawtMGysU/edit?usp=sharing"",""สบก!CY88"")"),0)</f>
        <v>0</v>
      </c>
      <c r="M315" s="172"/>
      <c r="N315" s="172"/>
      <c r="O315" s="175"/>
      <c r="P315" s="175"/>
    </row>
    <row r="316" spans="1:16" ht="21.75" customHeight="1" x14ac:dyDescent="0.2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IFERROR(__xludf.DUMMYFUNCTION("IMPORTRANGE(""https://docs.google.com/spreadsheets/d/1Yj_ptqi66GCucihVvJfMjLAmec39IyEx_6qawtMGysU/edit?usp=sharing"",""สบก!CZ88"")"),0)</f>
        <v>0</v>
      </c>
      <c r="M316" s="172"/>
      <c r="N316" s="172"/>
      <c r="O316" s="175"/>
      <c r="P316" s="175"/>
    </row>
    <row r="317" spans="1:16" ht="21.75" customHeight="1" x14ac:dyDescent="0.3">
      <c r="A317" s="177"/>
      <c r="B317" s="81"/>
      <c r="C317" s="82" t="s">
        <v>16</v>
      </c>
      <c r="D317" s="576" t="s">
        <v>23</v>
      </c>
      <c r="E317" s="575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3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2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2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IFERROR(__xludf.DUMMYFUNCTION("IMPORTRANGE(""https://docs.google.com/spreadsheets/d/1IYY_tgx_IHuhSq3AJ5eI5OnqOPBNLWSHKh2a30DoXe8/edit?usp=sharing"",""พัทลุง!J220"")"),0)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2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IFERROR(__xludf.DUMMYFUNCTION("IMPORTRANGE(""https://docs.google.com/spreadsheets/d/1IYY_tgx_IHuhSq3AJ5eI5OnqOPBNLWSHKh2a30DoXe8/edit?usp=sharing"",""พัทลุง!J221"")"),0)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2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IFERROR(__xludf.DUMMYFUNCTION("IMPORTRANGE(""https://docs.google.com/spreadsheets/d/1IYY_tgx_IHuhSq3AJ5eI5OnqOPBNLWSHKh2a30DoXe8/edit?usp=sharing"",""พัทลุง!J222"")"),0)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2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IFERROR(__xludf.DUMMYFUNCTION("IMPORTRANGE(""https://docs.google.com/spreadsheets/d/1IYY_tgx_IHuhSq3AJ5eI5OnqOPBNLWSHKh2a30DoXe8/edit?usp=sharing"",""พัทลุง!J223"")"),0)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2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IFERROR(__xludf.DUMMYFUNCTION("IMPORTRANGE(""https://docs.google.com/spreadsheets/d/1IYY_tgx_IHuhSq3AJ5eI5OnqOPBNLWSHKh2a30DoXe8/edit?usp=sharing"",""พัทลุง!I224"")"),0)</f>
        <v>0</v>
      </c>
      <c r="J324" s="210">
        <f ca="1">IFERROR(__xludf.DUMMYFUNCTION("IMPORTRANGE(""https://docs.google.com/spreadsheets/d/1IYY_tgx_IHuhSq3AJ5eI5OnqOPBNLWSHKh2a30DoXe8/edit?usp=sharing"",""พัทลุง!J224"")"),0)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2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IFERROR(__xludf.DUMMYFUNCTION("IMPORTRANGE(""https://docs.google.com/spreadsheets/d/1IYY_tgx_IHuhSq3AJ5eI5OnqOPBNLWSHKh2a30DoXe8/edit?usp=sharing"",""พัทลุง!J225"")"),0)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2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IFERROR(__xludf.DUMMYFUNCTION("IMPORTRANGE(""https://docs.google.com/spreadsheets/d/1IYY_tgx_IHuhSq3AJ5eI5OnqOPBNLWSHKh2a30DoXe8/edit?usp=sharing"",""พัทลุง!J226"")"),0)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2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2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IFERROR(__xludf.DUMMYFUNCTION("IMPORTRANGE(""https://docs.google.com/spreadsheets/d/1IYY_tgx_IHuhSq3AJ5eI5OnqOPBNLWSHKh2a30DoXe8/edit?usp=sharing"",""พัทลุง!I228"")"),270)</f>
        <v>270</v>
      </c>
      <c r="J328" s="345">
        <f ca="1">IFERROR(__xludf.DUMMYFUNCTION("IMPORTRANGE(""https://docs.google.com/spreadsheets/d/1IYY_tgx_IHuhSq3AJ5eI5OnqOPBNLWSHKh2a30DoXe8/edit?usp=sharing"",""พัทลุง!J228"")"),214)</f>
        <v>214</v>
      </c>
      <c r="K328" s="323">
        <f ca="1">IF(I328&gt;0,J328*100/I328,0)</f>
        <v>79.259259259259252</v>
      </c>
      <c r="L328" s="324"/>
      <c r="M328" s="324"/>
      <c r="N328" s="324"/>
      <c r="O328" s="323"/>
      <c r="P328" s="323"/>
    </row>
    <row r="329" spans="1:16" ht="21.75" customHeight="1" x14ac:dyDescent="0.3">
      <c r="A329" s="150"/>
      <c r="B329" s="151"/>
      <c r="C329" s="152" t="s">
        <v>16</v>
      </c>
      <c r="D329" s="572" t="s">
        <v>17</v>
      </c>
      <c r="E329" s="573"/>
      <c r="F329" s="573"/>
      <c r="G329" s="573"/>
      <c r="H329" s="153" t="s">
        <v>12</v>
      </c>
      <c r="I329" s="166"/>
      <c r="J329" s="166"/>
      <c r="K329" s="167"/>
      <c r="L329" s="156">
        <f t="shared" ref="L329:N329" ca="1" si="97">L330+L331</f>
        <v>737120</v>
      </c>
      <c r="M329" s="156">
        <f t="shared" ca="1" si="97"/>
        <v>776260</v>
      </c>
      <c r="N329" s="156">
        <f t="shared" ca="1" si="97"/>
        <v>588792.63</v>
      </c>
      <c r="O329" s="155">
        <f t="shared" ref="O329:O331" ca="1" si="98">IF(L329&gt;0,N329*100/L329,0)</f>
        <v>79.877446006077705</v>
      </c>
      <c r="P329" s="155">
        <f t="shared" ref="P329:P331" ca="1" si="99">IF(M329&gt;0,N329*100/M329,0)</f>
        <v>75.84992528276608</v>
      </c>
    </row>
    <row r="330" spans="1:16" ht="21.75" customHeight="1" x14ac:dyDescent="0.3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3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737120</v>
      </c>
      <c r="M331" s="161">
        <f t="shared" ca="1" si="101"/>
        <v>776260</v>
      </c>
      <c r="N331" s="161">
        <f t="shared" ca="1" si="101"/>
        <v>588792.63</v>
      </c>
      <c r="O331" s="160">
        <f t="shared" ca="1" si="98"/>
        <v>79.877446006077705</v>
      </c>
      <c r="P331" s="160">
        <f t="shared" ca="1" si="99"/>
        <v>75.84992528276608</v>
      </c>
    </row>
    <row r="332" spans="1:16" ht="21.75" customHeight="1" x14ac:dyDescent="0.3">
      <c r="A332" s="162"/>
      <c r="B332" s="163"/>
      <c r="C332" s="163" t="s">
        <v>16</v>
      </c>
      <c r="D332" s="574" t="s">
        <v>20</v>
      </c>
      <c r="E332" s="575"/>
      <c r="F332" s="575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2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598120</v>
      </c>
      <c r="M333" s="173">
        <f ca="1">IFERROR(__xludf.DUMMYFUNCTION("IMPORTRANGE(""https://docs.google.com/spreadsheets/d/1Yj_ptqi66GCucihVvJfMjLAmec39IyEx_6qawtMGysU/edit?usp=sharing"",""สบก!DL88"")"),637260)</f>
        <v>637260</v>
      </c>
      <c r="N333" s="174">
        <f ca="1">IFERROR(__xludf.DUMMYFUNCTION("IMPORTRANGE(""https://docs.google.com/spreadsheets/d/1Yj_ptqi66GCucihVvJfMjLAmec39IyEx_6qawtMGysU/edit?usp=sharing"",""สบก!DM88"")"),449792.63)</f>
        <v>449792.63</v>
      </c>
      <c r="O333" s="175">
        <f ca="1">IF(L333&gt;0,N333*100/L333,0)</f>
        <v>75.2010683474888</v>
      </c>
      <c r="P333" s="175">
        <f ca="1">IF(M333&gt;0,N333*100/M333,0)</f>
        <v>70.582278818692529</v>
      </c>
    </row>
    <row r="334" spans="1:16" ht="21.75" customHeight="1" x14ac:dyDescent="0.2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IFERROR(__xludf.DUMMYFUNCTION("IMPORTRANGE(""https://docs.google.com/spreadsheets/d/1Yj_ptqi66GCucihVvJfMjLAmec39IyEx_6qawtMGysU/edit?usp=sharing"",""สบก!DH88"")"),306000)</f>
        <v>306000</v>
      </c>
      <c r="M334" s="172"/>
      <c r="N334" s="172"/>
      <c r="O334" s="175"/>
      <c r="P334" s="175"/>
    </row>
    <row r="335" spans="1:16" ht="21.75" customHeight="1" x14ac:dyDescent="0.2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IFERROR(__xludf.DUMMYFUNCTION("IMPORTRANGE(""https://docs.google.com/spreadsheets/d/1Yj_ptqi66GCucihVvJfMjLAmec39IyEx_6qawtMGysU/edit?usp=sharing"",""สบก!DI88"")"),292120)</f>
        <v>292120</v>
      </c>
      <c r="M335" s="172"/>
      <c r="N335" s="172"/>
      <c r="O335" s="175"/>
      <c r="P335" s="175"/>
    </row>
    <row r="336" spans="1:16" ht="21.75" customHeight="1" x14ac:dyDescent="0.3">
      <c r="A336" s="177"/>
      <c r="B336" s="81"/>
      <c r="C336" s="82" t="s">
        <v>16</v>
      </c>
      <c r="D336" s="576" t="s">
        <v>23</v>
      </c>
      <c r="E336" s="575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3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IFERROR(__xludf.DUMMYFUNCTION("IMPORTRANGE(""https://docs.google.com/spreadsheets/d/1Yj_ptqi66GCucihVvJfMjLAmec39IyEx_6qawtMGysU/edit?usp=sharing"",""สบก!DJ88"")"),139000)</f>
        <v>139000</v>
      </c>
      <c r="M337" s="101">
        <f ca="1">L337</f>
        <v>139000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2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2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IFERROR(__xludf.DUMMYFUNCTION("IMPORTRANGE(""https://docs.google.com/spreadsheets/d/1IYY_tgx_IHuhSq3AJ5eI5OnqOPBNLWSHKh2a30DoXe8/edit?usp=sharing"",""พัทลุง!I234"")"),0)</f>
        <v>0</v>
      </c>
      <c r="J339" s="194">
        <f ca="1">IFERROR(__xludf.DUMMYFUNCTION("IMPORTRANGE(""https://docs.google.com/spreadsheets/d/1IYY_tgx_IHuhSq3AJ5eI5OnqOPBNLWSHKh2a30DoXe8/edit?usp=sharing"",""พัทลุง!J234"")"),164)</f>
        <v>164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2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IFERROR(__xludf.DUMMYFUNCTION("IMPORTRANGE(""https://docs.google.com/spreadsheets/d/1IYY_tgx_IHuhSq3AJ5eI5OnqOPBNLWSHKh2a30DoXe8/edit?usp=sharing"",""พัทลุง!I235"")"),800)</f>
        <v>800</v>
      </c>
      <c r="J340" s="194">
        <f ca="1">IFERROR(__xludf.DUMMYFUNCTION("IMPORTRANGE(""https://docs.google.com/spreadsheets/d/1IYY_tgx_IHuhSq3AJ5eI5OnqOPBNLWSHKh2a30DoXe8/edit?usp=sharing"",""พัทลุง!J235"")"),816.56)</f>
        <v>816.56</v>
      </c>
      <c r="K340" s="348">
        <f t="shared" ca="1" si="102"/>
        <v>102.07</v>
      </c>
      <c r="L340" s="188"/>
      <c r="M340" s="188"/>
      <c r="N340" s="188"/>
      <c r="O340" s="349"/>
      <c r="P340" s="349"/>
    </row>
    <row r="341" spans="1:16" ht="21.75" customHeight="1" x14ac:dyDescent="0.2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IFERROR(__xludf.DUMMYFUNCTION("IMPORTRANGE(""https://docs.google.com/spreadsheets/d/1IYY_tgx_IHuhSq3AJ5eI5OnqOPBNLWSHKh2a30DoXe8/edit?usp=sharing"",""พัทลุง!I236"")"),270)</f>
        <v>270</v>
      </c>
      <c r="J341" s="194">
        <f ca="1">IFERROR(__xludf.DUMMYFUNCTION("IMPORTRANGE(""https://docs.google.com/spreadsheets/d/1IYY_tgx_IHuhSq3AJ5eI5OnqOPBNLWSHKh2a30DoXe8/edit?usp=sharing"",""พัทลุง!J236"")"),307)</f>
        <v>307</v>
      </c>
      <c r="K341" s="348">
        <f t="shared" ca="1" si="102"/>
        <v>113.70370370370371</v>
      </c>
      <c r="L341" s="188"/>
      <c r="M341" s="188"/>
      <c r="N341" s="188"/>
      <c r="O341" s="349"/>
      <c r="P341" s="349"/>
    </row>
    <row r="342" spans="1:16" ht="21.75" customHeight="1" x14ac:dyDescent="0.2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4">
        <f ca="1">IFERROR(__xludf.DUMMYFUNCTION("IMPORTRANGE(""https://docs.google.com/spreadsheets/d/1IYY_tgx_IHuhSq3AJ5eI5OnqOPBNLWSHKh2a30DoXe8/edit?usp=sharing"",""พัทลุง!J237"")"),1886.39)</f>
        <v>1886.39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2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IFERROR(__xludf.DUMMYFUNCTION("IMPORTRANGE(""https://docs.google.com/spreadsheets/d/1IYY_tgx_IHuhSq3AJ5eI5OnqOPBNLWSHKh2a30DoXe8/edit?usp=sharing"",""พัทลุง!I238"")"),270)</f>
        <v>270</v>
      </c>
      <c r="J343" s="194">
        <f ca="1">IFERROR(__xludf.DUMMYFUNCTION("IMPORTRANGE(""https://docs.google.com/spreadsheets/d/1IYY_tgx_IHuhSq3AJ5eI5OnqOPBNLWSHKh2a30DoXe8/edit?usp=sharing"",""พัทลุง!J238"")"),26)</f>
        <v>26</v>
      </c>
      <c r="K343" s="348">
        <f t="shared" ca="1" si="102"/>
        <v>9.6296296296296298</v>
      </c>
      <c r="L343" s="188"/>
      <c r="M343" s="188"/>
      <c r="N343" s="188"/>
      <c r="O343" s="349"/>
      <c r="P343" s="349"/>
    </row>
    <row r="344" spans="1:16" ht="21.75" customHeight="1" x14ac:dyDescent="0.2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4">
        <f ca="1">IFERROR(__xludf.DUMMYFUNCTION("IMPORTRANGE(""https://docs.google.com/spreadsheets/d/1IYY_tgx_IHuhSq3AJ5eI5OnqOPBNLWSHKh2a30DoXe8/edit?usp=sharing"",""พัทลุง!J239"")"),147.12)</f>
        <v>147.12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2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IFERROR(__xludf.DUMMYFUNCTION("IMPORTRANGE(""https://docs.google.com/spreadsheets/d/1IYY_tgx_IHuhSq3AJ5eI5OnqOPBNLWSHKh2a30DoXe8/edit?usp=sharing"",""พัทลุง!I240"")"),270)</f>
        <v>270</v>
      </c>
      <c r="J345" s="194">
        <f ca="1">IFERROR(__xludf.DUMMYFUNCTION("IMPORTRANGE(""https://docs.google.com/spreadsheets/d/1IYY_tgx_IHuhSq3AJ5eI5OnqOPBNLWSHKh2a30DoXe8/edit?usp=sharing"",""พัทลุง!J240"")"),214)</f>
        <v>214</v>
      </c>
      <c r="K345" s="348">
        <f t="shared" ca="1" si="102"/>
        <v>79.259259259259252</v>
      </c>
      <c r="L345" s="188"/>
      <c r="M345" s="188"/>
      <c r="N345" s="188"/>
      <c r="O345" s="349"/>
      <c r="P345" s="349"/>
    </row>
    <row r="346" spans="1:16" ht="21.75" customHeight="1" x14ac:dyDescent="0.2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4">
        <f ca="1">IFERROR(__xludf.DUMMYFUNCTION("IMPORTRANGE(""https://docs.google.com/spreadsheets/d/1IYY_tgx_IHuhSq3AJ5eI5OnqOPBNLWSHKh2a30DoXe8/edit?usp=sharing"",""พัทลุง!J241"")"),1345.36)</f>
        <v>1345.36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2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IFERROR(__xludf.DUMMYFUNCTION("IMPORTRANGE(""https://docs.google.com/spreadsheets/d/1IYY_tgx_IHuhSq3AJ5eI5OnqOPBNLWSHKh2a30DoXe8/edit?usp=sharing"",""พัทลุง!L242"")"),1652947)</f>
        <v>1652947</v>
      </c>
      <c r="M347" s="364"/>
      <c r="N347" s="364">
        <f ca="1">IFERROR(__xludf.DUMMYFUNCTION("IMPORTRANGE(""https://docs.google.com/spreadsheets/d/1IYY_tgx_IHuhSq3AJ5eI5OnqOPBNLWSHKh2a30DoXe8/edit?usp=sharing"",""พัทลุง!M242"")"),1148294.56999999)</f>
        <v>1148294.5699999901</v>
      </c>
      <c r="O347" s="364">
        <f ca="1">+IF(L347&gt;0,N347*100/L347,0)</f>
        <v>69.469533505913375</v>
      </c>
      <c r="P347" s="364"/>
    </row>
    <row r="348" spans="1:16" ht="21.75" customHeight="1" x14ac:dyDescent="0.2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2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3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IFERROR(__xludf.DUMMYFUNCTION("IMPORTRANGE(""https://docs.google.com/spreadsheets/d/1IYY_tgx_IHuhSq3AJ5eI5OnqOPBNLWSHKh2a30DoXe8/edit?usp=sharing"",""พัทลุง!L244"")"),334640)</f>
        <v>334640</v>
      </c>
      <c r="M349" s="379"/>
      <c r="N349" s="379">
        <f ca="1">IFERROR(__xludf.DUMMYFUNCTION("IMPORTRANGE(""https://docs.google.com/spreadsheets/d/1IYY_tgx_IHuhSq3AJ5eI5OnqOPBNLWSHKh2a30DoXe8/edit?usp=sharing"",""พัทลุง!M244"")"),255190.68)</f>
        <v>255190.68</v>
      </c>
      <c r="O349" s="379">
        <f ca="1">+IF(L349&gt;0,N349*100/L349,0)</f>
        <v>76.258271575424331</v>
      </c>
      <c r="P349" s="379"/>
    </row>
    <row r="350" spans="1:16" ht="21.75" customHeight="1" x14ac:dyDescent="0.2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3"/>
        <v>100</v>
      </c>
      <c r="L350" s="379"/>
      <c r="M350" s="379"/>
      <c r="N350" s="379"/>
      <c r="O350" s="379"/>
      <c r="P350" s="379"/>
    </row>
    <row r="351" spans="1:16" ht="21.75" customHeight="1" x14ac:dyDescent="0.2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IFERROR(__xludf.DUMMYFUNCTION("IMPORTRANGE(""https://docs.google.com/spreadsheets/d/1IYY_tgx_IHuhSq3AJ5eI5OnqOPBNLWSHKh2a30DoXe8/edit?usp=sharing"",""พัทลุง!L246"")"),0)</f>
        <v>0</v>
      </c>
      <c r="M351" s="168"/>
      <c r="N351" s="168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2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IFERROR(__xludf.DUMMYFUNCTION("IMPORTRANGE(""https://docs.google.com/spreadsheets/d/1IYY_tgx_IHuhSq3AJ5eI5OnqOPBNLWSHKh2a30DoXe8/edit?usp=sharing"",""พัทลุง!L247"")"),334640)</f>
        <v>334640</v>
      </c>
      <c r="M352" s="169"/>
      <c r="N352" s="168">
        <f ca="1">IFERROR(__xludf.DUMMYFUNCTION("IMPORTRANGE(""https://docs.google.com/spreadsheets/d/1IYY_tgx_IHuhSq3AJ5eI5OnqOPBNLWSHKh2a30DoXe8/edit?usp=sharing"",""พัทลุง!M247"")"),255190.68)</f>
        <v>255190.68</v>
      </c>
      <c r="O352" s="169">
        <f t="shared" ca="1" si="104"/>
        <v>76.258271575424331</v>
      </c>
      <c r="P352" s="169"/>
    </row>
    <row r="353" spans="1:16" ht="21.75" customHeight="1" x14ac:dyDescent="0.2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IFERROR(__xludf.DUMMYFUNCTION("IMPORTRANGE(""https://docs.google.com/spreadsheets/d/1IYY_tgx_IHuhSq3AJ5eI5OnqOPBNLWSHKh2a30DoXe8/edit?usp=sharing"",""พัทลุง!L248"")"),0)</f>
        <v>0</v>
      </c>
      <c r="M353" s="175"/>
      <c r="N353" s="175">
        <f ca="1">IFERROR(__xludf.DUMMYFUNCTION("IMPORTRANGE(""https://docs.google.com/spreadsheets/d/1IYY_tgx_IHuhSq3AJ5eI5OnqOPBNLWSHKh2a30DoXe8/edit?usp=sharing"",""พัทลุง!M248"")"),0)</f>
        <v>0</v>
      </c>
      <c r="O353" s="175">
        <f t="shared" ca="1" si="104"/>
        <v>0</v>
      </c>
      <c r="P353" s="175"/>
    </row>
    <row r="354" spans="1:16" ht="21.75" customHeight="1" x14ac:dyDescent="0.2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IFERROR(__xludf.DUMMYFUNCTION("IMPORTRANGE(""https://docs.google.com/spreadsheets/d/1IYY_tgx_IHuhSq3AJ5eI5OnqOPBNLWSHKh2a30DoXe8/edit?usp=sharing"",""พัทลุง!L249"")"),334640)</f>
        <v>334640</v>
      </c>
      <c r="M354" s="175"/>
      <c r="N354" s="172">
        <f ca="1">IFERROR(__xludf.DUMMYFUNCTION("IMPORTRANGE(""https://docs.google.com/spreadsheets/d/1IYY_tgx_IHuhSq3AJ5eI5OnqOPBNLWSHKh2a30DoXe8/edit?usp=sharing"",""พัทลุง!M249"")"),255190.68)</f>
        <v>255190.68</v>
      </c>
      <c r="O354" s="175">
        <f t="shared" ca="1" si="104"/>
        <v>76.258271575424331</v>
      </c>
      <c r="P354" s="175"/>
    </row>
    <row r="355" spans="1:16" ht="21.75" customHeight="1" x14ac:dyDescent="0.2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5"/>
      <c r="P355" s="175"/>
    </row>
    <row r="356" spans="1:16" ht="21.75" customHeight="1" x14ac:dyDescent="0.2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5"/>
      <c r="P356" s="175"/>
    </row>
    <row r="357" spans="1:16" ht="21.75" customHeight="1" x14ac:dyDescent="0.2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IFERROR(__xludf.DUMMYFUNCTION("IMPORTRANGE(""https://docs.google.com/spreadsheets/d/1IYY_tgx_IHuhSq3AJ5eI5OnqOPBNLWSHKh2a30DoXe8/edit?usp=sharing"",""พัทลุง!M252"")"),86580.68)</f>
        <v>86580.68</v>
      </c>
      <c r="O357" s="175"/>
      <c r="P357" s="175"/>
    </row>
    <row r="358" spans="1:16" ht="21.75" customHeight="1" x14ac:dyDescent="0.2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IFERROR(__xludf.DUMMYFUNCTION("IMPORTRANGE(""https://docs.google.com/spreadsheets/d/1IYY_tgx_IHuhSq3AJ5eI5OnqOPBNLWSHKh2a30DoXe8/edit?usp=sharing"",""พัทลุง!M253"")"),10830)</f>
        <v>10830</v>
      </c>
      <c r="O358" s="175"/>
      <c r="P358" s="175"/>
    </row>
    <row r="359" spans="1:16" ht="21.75" customHeight="1" x14ac:dyDescent="0.2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2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IFERROR(__xludf.DUMMYFUNCTION("IMPORTRANGE(""https://docs.google.com/spreadsheets/d/1IYY_tgx_IHuhSq3AJ5eI5OnqOPBNLWSHKh2a30DoXe8/edit?usp=sharing"",""พัทลุง!J255"")"),0)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2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IFERROR(__xludf.DUMMYFUNCTION("IMPORTRANGE(""https://docs.google.com/spreadsheets/d/1IYY_tgx_IHuhSq3AJ5eI5OnqOPBNLWSHKh2a30DoXe8/edit?usp=sharing"",""พัทลุง!J256"")"),1)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2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IFERROR(__xludf.DUMMYFUNCTION("IMPORTRANGE(""https://docs.google.com/spreadsheets/d/1IYY_tgx_IHuhSq3AJ5eI5OnqOPBNLWSHKh2a30DoXe8/edit?usp=sharing"",""พัทลุง!J257"")"),1)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2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IFERROR(__xludf.DUMMYFUNCTION("IMPORTRANGE(""https://docs.google.com/spreadsheets/d/1IYY_tgx_IHuhSq3AJ5eI5OnqOPBNLWSHKh2a30DoXe8/edit?usp=sharing"",""พัทลุง!J258"")"),1)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2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IFERROR(__xludf.DUMMYFUNCTION("IMPORTRANGE(""https://docs.google.com/spreadsheets/d/1IYY_tgx_IHuhSq3AJ5eI5OnqOPBNLWSHKh2a30DoXe8/edit?usp=sharing"",""พัทลุง!J166"")"),0)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2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IFERROR(__xludf.DUMMYFUNCTION("IMPORTRANGE(""https://docs.google.com/spreadsheets/d/1IYY_tgx_IHuhSq3AJ5eI5OnqOPBNLWSHKh2a30DoXe8/edit?usp=sharing"",""พัทลุง!J166"")"),0)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2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IFERROR(__xludf.DUMMYFUNCTION("IMPORTRANGE(""https://docs.google.com/spreadsheets/d/1IYY_tgx_IHuhSq3AJ5eI5OnqOPBNLWSHKh2a30DoXe8/edit?usp=sharing"",""พัทลุง!J166"")"),0)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2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IFERROR(__xludf.DUMMYFUNCTION("IMPORTRANGE(""https://docs.google.com/spreadsheets/d/1IYY_tgx_IHuhSq3AJ5eI5OnqOPBNLWSHKh2a30DoXe8/edit?usp=sharing"",""พัทลุง!J166"")"),0)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2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IFERROR(__xludf.DUMMYFUNCTION("IMPORTRANGE(""https://docs.google.com/spreadsheets/d/1IYY_tgx_IHuhSq3AJ5eI5OnqOPBNLWSHKh2a30DoXe8/edit?usp=sharing"",""พัทลุง!I263"")"),32)</f>
        <v>32</v>
      </c>
      <c r="J368" s="194">
        <f ca="1">IFERROR(__xludf.DUMMYFUNCTION("IMPORTRANGE(""https://docs.google.com/spreadsheets/d/1IYY_tgx_IHuhSq3AJ5eI5OnqOPBNLWSHKh2a30DoXe8/edit?usp=sharing"",""พัทลุง!J263"")"),32)</f>
        <v>32</v>
      </c>
      <c r="K368" s="167">
        <f t="shared" ca="1" si="105"/>
        <v>100</v>
      </c>
      <c r="L368" s="188"/>
      <c r="M368" s="188"/>
      <c r="N368" s="188"/>
      <c r="O368" s="188"/>
      <c r="P368" s="188"/>
    </row>
    <row r="369" spans="1:16" ht="21.75" hidden="1" customHeight="1" x14ac:dyDescent="0.2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IFERROR(__xludf.DUMMYFUNCTION("IMPORTRANGE(""https://docs.google.com/spreadsheets/d/1IYY_tgx_IHuhSq3AJ5eI5OnqOPBNLWSHKh2a30DoXe8/edit?usp=sharing"",""พัทลุง!I164"")"),0)</f>
        <v>0</v>
      </c>
      <c r="J369" s="210">
        <f ca="1">IFERROR(__xludf.DUMMYFUNCTION("IMPORTRANGE(""https://docs.google.com/spreadsheets/d/1IYY_tgx_IHuhSq3AJ5eI5OnqOPBNLWSHKh2a30DoXe8/edit?usp=sharing"",""พัทลุง!J164"")"),0)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2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IFERROR(__xludf.DUMMYFUNCTION("IMPORTRANGE(""https://docs.google.com/spreadsheets/d/1IYY_tgx_IHuhSq3AJ5eI5OnqOPBNLWSHKh2a30DoXe8/edit?usp=sharing"",""พัทลุง!I265"")"),32)</f>
        <v>32</v>
      </c>
      <c r="J370" s="210">
        <f ca="1">IFERROR(__xludf.DUMMYFUNCTION("IMPORTRANGE(""https://docs.google.com/spreadsheets/d/1IYY_tgx_IHuhSq3AJ5eI5OnqOPBNLWSHKh2a30DoXe8/edit?usp=sharing"",""พัทลุง!J265"")"),32)</f>
        <v>32</v>
      </c>
      <c r="K370" s="167">
        <f t="shared" ca="1" si="105"/>
        <v>100</v>
      </c>
      <c r="L370" s="188"/>
      <c r="M370" s="188"/>
      <c r="N370" s="188"/>
      <c r="O370" s="188"/>
      <c r="P370" s="188"/>
    </row>
    <row r="371" spans="1:16" ht="21.75" hidden="1" customHeight="1" x14ac:dyDescent="0.2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IFERROR(__xludf.DUMMYFUNCTION("IMPORTRANGE(""https://docs.google.com/spreadsheets/d/1IYY_tgx_IHuhSq3AJ5eI5OnqOPBNLWSHKh2a30DoXe8/edit?usp=sharing"",""พัทลุง!I164"")"),0)</f>
        <v>0</v>
      </c>
      <c r="J371" s="195">
        <f ca="1">IFERROR(__xludf.DUMMYFUNCTION("IMPORTRANGE(""https://docs.google.com/spreadsheets/d/1IYY_tgx_IHuhSq3AJ5eI5OnqOPBNLWSHKh2a30DoXe8/edit?usp=sharing"",""พัทลุง!J164"")"),0)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2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IFERROR(__xludf.DUMMYFUNCTION("IMPORTRANGE(""https://docs.google.com/spreadsheets/d/1IYY_tgx_IHuhSq3AJ5eI5OnqOPBNLWSHKh2a30DoXe8/edit?usp=sharing"",""พัทลุง!I267"")"),32)</f>
        <v>32</v>
      </c>
      <c r="J372" s="195">
        <f ca="1">IFERROR(__xludf.DUMMYFUNCTION("IMPORTRANGE(""https://docs.google.com/spreadsheets/d/1IYY_tgx_IHuhSq3AJ5eI5OnqOPBNLWSHKh2a30DoXe8/edit?usp=sharing"",""พัทลุง!J267"")"),32)</f>
        <v>32</v>
      </c>
      <c r="K372" s="167">
        <f t="shared" ca="1" si="105"/>
        <v>100</v>
      </c>
      <c r="L372" s="188"/>
      <c r="M372" s="188"/>
      <c r="N372" s="188"/>
      <c r="O372" s="188"/>
      <c r="P372" s="188"/>
    </row>
    <row r="373" spans="1:16" ht="21.75" hidden="1" customHeight="1" x14ac:dyDescent="0.2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IFERROR(__xludf.DUMMYFUNCTION("IMPORTRANGE(""https://docs.google.com/spreadsheets/d/1IYY_tgx_IHuhSq3AJ5eI5OnqOPBNLWSHKh2a30DoXe8/edit?usp=sharing"",""พัทลุง!I164"")"),0)</f>
        <v>0</v>
      </c>
      <c r="J373" s="210">
        <f ca="1">IFERROR(__xludf.DUMMYFUNCTION("IMPORTRANGE(""https://docs.google.com/spreadsheets/d/1IYY_tgx_IHuhSq3AJ5eI5OnqOPBNLWSHKh2a30DoXe8/edit?usp=sharing"",""พัทลุง!J164"")"),0)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2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IFERROR(__xludf.DUMMYFUNCTION("IMPORTRANGE(""https://docs.google.com/spreadsheets/d/1IYY_tgx_IHuhSq3AJ5eI5OnqOPBNLWSHKh2a30DoXe8/edit?usp=sharing"",""พัทลุง!I164"")"),0)</f>
        <v>0</v>
      </c>
      <c r="J374" s="194">
        <f ca="1">IFERROR(__xludf.DUMMYFUNCTION("IMPORTRANGE(""https://docs.google.com/spreadsheets/d/1IYY_tgx_IHuhSq3AJ5eI5OnqOPBNLWSHKh2a30DoXe8/edit?usp=sharing"",""พัทลุง!J164"")"),0)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2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IFERROR(__xludf.DUMMYFUNCTION("IMPORTRANGE(""https://docs.google.com/spreadsheets/d/1IYY_tgx_IHuhSq3AJ5eI5OnqOPBNLWSHKh2a30DoXe8/edit?usp=sharing"",""พัทลุง!I270"")"),128)</f>
        <v>128</v>
      </c>
      <c r="J375" s="194">
        <f ca="1">IFERROR(__xludf.DUMMYFUNCTION("IMPORTRANGE(""https://docs.google.com/spreadsheets/d/1IYY_tgx_IHuhSq3AJ5eI5OnqOPBNLWSHKh2a30DoXe8/edit?usp=sharing"",""พัทลุง!J270"")"),128)</f>
        <v>128</v>
      </c>
      <c r="K375" s="167">
        <f t="shared" ref="K375:K377" ca="1" si="106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2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IFERROR(__xludf.DUMMYFUNCTION("IMPORTRANGE(""https://docs.google.com/spreadsheets/d/1IYY_tgx_IHuhSq3AJ5eI5OnqOPBNLWSHKh2a30DoXe8/edit?usp=sharing"",""พัทลุง!I271"")"),40)</f>
        <v>40</v>
      </c>
      <c r="J376" s="195">
        <f ca="1">IFERROR(__xludf.DUMMYFUNCTION("IMPORTRANGE(""https://docs.google.com/spreadsheets/d/1IYY_tgx_IHuhSq3AJ5eI5OnqOPBNLWSHKh2a30DoXe8/edit?usp=sharing"",""พัทลุง!J271"")"),40)</f>
        <v>40</v>
      </c>
      <c r="K376" s="167">
        <f t="shared" ca="1" si="106"/>
        <v>100</v>
      </c>
      <c r="L376" s="188"/>
      <c r="M376" s="188"/>
      <c r="N376" s="188"/>
      <c r="O376" s="188"/>
      <c r="P376" s="188"/>
    </row>
    <row r="377" spans="1:16" ht="21.75" customHeight="1" x14ac:dyDescent="0.2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IFERROR(__xludf.DUMMYFUNCTION("IMPORTRANGE(""https://docs.google.com/spreadsheets/d/1IYY_tgx_IHuhSq3AJ5eI5OnqOPBNLWSHKh2a30DoXe8/edit?usp=sharing"",""พัทลุง!I272"")"),88)</f>
        <v>88</v>
      </c>
      <c r="J377" s="210">
        <f ca="1">IFERROR(__xludf.DUMMYFUNCTION("IMPORTRANGE(""https://docs.google.com/spreadsheets/d/1IYY_tgx_IHuhSq3AJ5eI5OnqOPBNLWSHKh2a30DoXe8/edit?usp=sharing"",""พัทลุง!J272"")"),88)</f>
        <v>88</v>
      </c>
      <c r="K377" s="167">
        <f t="shared" ca="1" si="106"/>
        <v>100</v>
      </c>
      <c r="L377" s="188"/>
      <c r="M377" s="188"/>
      <c r="N377" s="188"/>
      <c r="O377" s="188"/>
      <c r="P377" s="188"/>
    </row>
    <row r="378" spans="1:16" ht="21.75" customHeight="1" x14ac:dyDescent="0.2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IFERROR(__xludf.DUMMYFUNCTION("IMPORTRANGE(""https://docs.google.com/spreadsheets/d/1IYY_tgx_IHuhSq3AJ5eI5OnqOPBNLWSHKh2a30DoXe8/edit?usp=sharing"",""พัทลุง!J273"")"),0)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2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IFERROR(__xludf.DUMMYFUNCTION("IMPORTRANGE(""https://docs.google.com/spreadsheets/d/1IYY_tgx_IHuhSq3AJ5eI5OnqOPBNLWSHKh2a30DoXe8/edit?usp=sharing"",""พัทลุง!J274"")"),0)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2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IFERROR(__xludf.DUMMYFUNCTION("IMPORTRANGE(""https://docs.google.com/spreadsheets/d/1IYY_tgx_IHuhSq3AJ5eI5OnqOPBNLWSHKh2a30DoXe8/edit?usp=sharing"",""พัทลุง!J275"")"),300)</f>
        <v>300</v>
      </c>
      <c r="K380" s="378">
        <f t="shared" ref="K380:K381" ca="1" si="107">IF(I380&gt;0,J380*100/I380,0)</f>
        <v>100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IFERROR(__xludf.DUMMYFUNCTION("IMPORTRANGE(""https://docs.google.com/spreadsheets/d/1IYY_tgx_IHuhSq3AJ5eI5OnqOPBNLWSHKh2a30DoXe8/edit?usp=sharing"",""พัทลุง!M275"")"),274120)</f>
        <v>274120</v>
      </c>
      <c r="O380" s="379">
        <f ca="1">+IF(L380&gt;0,N380*100/L380,0)</f>
        <v>93.269819666553246</v>
      </c>
      <c r="P380" s="379"/>
    </row>
    <row r="381" spans="1:16" ht="21.75" customHeight="1" x14ac:dyDescent="0.2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2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IFERROR(__xludf.DUMMYFUNCTION("IMPORTRANGE(""https://docs.google.com/spreadsheets/d/1IYY_tgx_IHuhSq3AJ5eI5OnqOPBNLWSHKh2a30DoXe8/edit?usp=sharing"",""พัทลุง!L277"")"),0)</f>
        <v>0</v>
      </c>
      <c r="M382" s="168"/>
      <c r="N382" s="168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2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IFERROR(__xludf.DUMMYFUNCTION("IMPORTRANGE(""https://docs.google.com/spreadsheets/d/1IYY_tgx_IHuhSq3AJ5eI5OnqOPBNLWSHKh2a30DoXe8/edit?usp=sharing"",""พัทลุง!M278"")"),274120)</f>
        <v>274120</v>
      </c>
      <c r="O383" s="169">
        <f t="shared" ca="1" si="108"/>
        <v>93.269819666553246</v>
      </c>
      <c r="P383" s="169"/>
    </row>
    <row r="384" spans="1:16" ht="21.75" customHeight="1" x14ac:dyDescent="0.2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IFERROR(__xludf.DUMMYFUNCTION("IMPORTRANGE(""https://docs.google.com/spreadsheets/d/1IYY_tgx_IHuhSq3AJ5eI5OnqOPBNLWSHKh2a30DoXe8/edit?usp=sharing"",""พัทลุง!L279"")"),0)</f>
        <v>0</v>
      </c>
      <c r="M384" s="175"/>
      <c r="N384" s="175">
        <f ca="1">IFERROR(__xludf.DUMMYFUNCTION("IMPORTRANGE(""https://docs.google.com/spreadsheets/d/1IYY_tgx_IHuhSq3AJ5eI5OnqOPBNLWSHKh2a30DoXe8/edit?usp=sharing"",""พัทลุง!M279"")"),0)</f>
        <v>0</v>
      </c>
      <c r="O384" s="175">
        <f t="shared" ca="1" si="108"/>
        <v>0</v>
      </c>
      <c r="P384" s="175"/>
    </row>
    <row r="385" spans="1:16" ht="21.75" customHeight="1" x14ac:dyDescent="0.2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IFERROR(__xludf.DUMMYFUNCTION("IMPORTRANGE(""https://docs.google.com/spreadsheets/d/1IYY_tgx_IHuhSq3AJ5eI5OnqOPBNLWSHKh2a30DoXe8/edit?usp=sharing"",""พัทลุง!L280"")"),293900)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IFERROR(__xludf.DUMMYFUNCTION("IMPORTRANGE(""https://docs.google.com/spreadsheets/d/1IYY_tgx_IHuhSq3AJ5eI5OnqOPBNLWSHKh2a30DoXe8/edit?usp=sharing"",""พัทลุง!M280"")"),274120)</f>
        <v>274120</v>
      </c>
      <c r="O385" s="175">
        <f t="shared" ca="1" si="108"/>
        <v>93.269819666553246</v>
      </c>
      <c r="P385" s="175"/>
    </row>
    <row r="386" spans="1:16" ht="21.75" customHeight="1" x14ac:dyDescent="0.2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IFERROR(__xludf.DUMMYFUNCTION("IMPORTRANGE(""https://docs.google.com/spreadsheets/d/1IYY_tgx_IHuhSq3AJ5eI5OnqOPBNLWSHKh2a30DoXe8/edit?usp=sharing"",""พัทลุง!M281"")"),76090)</f>
        <v>76090</v>
      </c>
      <c r="O386" s="175"/>
      <c r="P386" s="175"/>
    </row>
    <row r="387" spans="1:16" ht="21.75" customHeight="1" x14ac:dyDescent="0.2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IFERROR(__xludf.DUMMYFUNCTION("IMPORTRANGE(""https://docs.google.com/spreadsheets/d/1IYY_tgx_IHuhSq3AJ5eI5OnqOPBNLWSHKh2a30DoXe8/edit?usp=sharing"",""พัทลุง!M282"")"),187500)</f>
        <v>187500</v>
      </c>
      <c r="O387" s="175"/>
      <c r="P387" s="175"/>
    </row>
    <row r="388" spans="1:16" ht="21.75" customHeight="1" x14ac:dyDescent="0.2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5"/>
      <c r="P388" s="175"/>
    </row>
    <row r="389" spans="1:16" ht="21.75" customHeight="1" x14ac:dyDescent="0.2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IFERROR(__xludf.DUMMYFUNCTION("IMPORTRANGE(""https://docs.google.com/spreadsheets/d/1IYY_tgx_IHuhSq3AJ5eI5OnqOPBNLWSHKh2a30DoXe8/edit?usp=sharing"",""พัทลุง!M284"")"),10530)</f>
        <v>10530</v>
      </c>
      <c r="O389" s="175"/>
      <c r="P389" s="175"/>
    </row>
    <row r="390" spans="1:16" ht="21.75" customHeight="1" x14ac:dyDescent="0.2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2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IFERROR(__xludf.DUMMYFUNCTION("IMPORTRANGE(""https://docs.google.com/spreadsheets/d/1IYY_tgx_IHuhSq3AJ5eI5OnqOPBNLWSHKh2a30DoXe8/edit?usp=sharing"",""พัทลุง!J286"")"),0)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2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IFERROR(__xludf.DUMMYFUNCTION("IMPORTRANGE(""https://docs.google.com/spreadsheets/d/1IYY_tgx_IHuhSq3AJ5eI5OnqOPBNLWSHKh2a30DoXe8/edit?usp=sharing"",""พัทลุง!J287"")"),1)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2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IFERROR(__xludf.DUMMYFUNCTION("IMPORTRANGE(""https://docs.google.com/spreadsheets/d/1IYY_tgx_IHuhSq3AJ5eI5OnqOPBNLWSHKh2a30DoXe8/edit?usp=sharing"",""พัทลุง!J288"")"),1)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2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IFERROR(__xludf.DUMMYFUNCTION("IMPORTRANGE(""https://docs.google.com/spreadsheets/d/1IYY_tgx_IHuhSq3AJ5eI5OnqOPBNLWSHKh2a30DoXe8/edit?usp=sharing"",""พัทลุง!J289"")"),1)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2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2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IFERROR(__xludf.DUMMYFUNCTION("IMPORTRANGE(""https://docs.google.com/spreadsheets/d/1IYY_tgx_IHuhSq3AJ5eI5OnqOPBNLWSHKh2a30DoXe8/edit?usp=sharing"",""พัทลุง!I291"")"),30)</f>
        <v>30</v>
      </c>
      <c r="J396" s="204">
        <f ca="1">IFERROR(__xludf.DUMMYFUNCTION("IMPORTRANGE(""https://docs.google.com/spreadsheets/d/1IYY_tgx_IHuhSq3AJ5eI5OnqOPBNLWSHKh2a30DoXe8/edit?usp=sharing"",""พัทลุง!J291"")"),30)</f>
        <v>30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2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IFERROR(__xludf.DUMMYFUNCTION("IMPORTRANGE(""https://docs.google.com/spreadsheets/d/1IYY_tgx_IHuhSq3AJ5eI5OnqOPBNLWSHKh2a30DoXe8/edit?usp=sharing"",""พัทลุง!I292"")"),300)</f>
        <v>300</v>
      </c>
      <c r="J397" s="204">
        <f ca="1">IFERROR(__xludf.DUMMYFUNCTION("IMPORTRANGE(""https://docs.google.com/spreadsheets/d/1IYY_tgx_IHuhSq3AJ5eI5OnqOPBNLWSHKh2a30DoXe8/edit?usp=sharing"",""พัทลุง!J292"")"),300)</f>
        <v>300</v>
      </c>
      <c r="K397" s="167">
        <f t="shared" ca="1" si="109"/>
        <v>100</v>
      </c>
      <c r="L397" s="188"/>
      <c r="M397" s="188"/>
      <c r="N397" s="188"/>
      <c r="O397" s="188"/>
      <c r="P397" s="188"/>
    </row>
    <row r="398" spans="1:16" ht="21.75" customHeight="1" x14ac:dyDescent="0.2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IFERROR(__xludf.DUMMYFUNCTION("IMPORTRANGE(""https://docs.google.com/spreadsheets/d/1IYY_tgx_IHuhSq3AJ5eI5OnqOPBNLWSHKh2a30DoXe8/edit?usp=sharing"",""พัทลุง!I293"")"),30)</f>
        <v>30</v>
      </c>
      <c r="J398" s="204">
        <f ca="1">IFERROR(__xludf.DUMMYFUNCTION("IMPORTRANGE(""https://docs.google.com/spreadsheets/d/1IYY_tgx_IHuhSq3AJ5eI5OnqOPBNLWSHKh2a30DoXe8/edit?usp=sharing"",""พัทลุง!J293"")"),30)</f>
        <v>30</v>
      </c>
      <c r="K398" s="167">
        <f t="shared" ca="1" si="109"/>
        <v>100</v>
      </c>
      <c r="L398" s="188"/>
      <c r="M398" s="188"/>
      <c r="N398" s="188"/>
      <c r="O398" s="188"/>
      <c r="P398" s="188"/>
    </row>
    <row r="399" spans="1:16" ht="21.75" customHeight="1" x14ac:dyDescent="0.2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IFERROR(__xludf.DUMMYFUNCTION("IMPORTRANGE(""https://docs.google.com/spreadsheets/d/1IYY_tgx_IHuhSq3AJ5eI5OnqOPBNLWSHKh2a30DoXe8/edit?usp=sharing"",""พัทลุง!J294"")"),1)</f>
        <v>1</v>
      </c>
      <c r="K399" s="167"/>
      <c r="L399" s="188"/>
      <c r="M399" s="188"/>
      <c r="N399" s="188"/>
      <c r="O399" s="188"/>
      <c r="P399" s="188"/>
    </row>
    <row r="400" spans="1:16" ht="21.75" customHeight="1" x14ac:dyDescent="0.2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IFERROR(__xludf.DUMMYFUNCTION("IMPORTRANGE(""https://docs.google.com/spreadsheets/d/1IYY_tgx_IHuhSq3AJ5eI5OnqOPBNLWSHKh2a30DoXe8/edit?usp=sharing"",""พัทลุง!J295"")"),0)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2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IFERROR(__xludf.DUMMYFUNCTION("IMPORTRANGE(""https://docs.google.com/spreadsheets/d/1IYY_tgx_IHuhSq3AJ5eI5OnqOPBNLWSHKh2a30DoXe8/edit?usp=sharing"",""พัทลุง!J296"")"),135)</f>
        <v>135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IFERROR(__xludf.DUMMYFUNCTION("IMPORTRANGE(""https://docs.google.com/spreadsheets/d/1IYY_tgx_IHuhSq3AJ5eI5OnqOPBNLWSHKh2a30DoXe8/edit?usp=sharing"",""พัทลุง!M296"")"),147620)</f>
        <v>147620</v>
      </c>
      <c r="O401" s="379">
        <f ca="1">+IF(L401&gt;0,N401*100/L401,0)</f>
        <v>92.291341044076276</v>
      </c>
      <c r="P401" s="379"/>
    </row>
    <row r="402" spans="1:16" ht="21.75" customHeight="1" x14ac:dyDescent="0.2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IFERROR(__xludf.DUMMYFUNCTION("IMPORTRANGE(""https://docs.google.com/spreadsheets/d/1IYY_tgx_IHuhSq3AJ5eI5OnqOPBNLWSHKh2a30DoXe8/edit?usp=sharing"",""พัทลุง!J297"")"),45)</f>
        <v>45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2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IFERROR(__xludf.DUMMYFUNCTION("IMPORTRANGE(""https://docs.google.com/spreadsheets/d/1IYY_tgx_IHuhSq3AJ5eI5OnqOPBNLWSHKh2a30DoXe8/edit?usp=sharing"",""พัทลุง!L298"")"),0)</f>
        <v>0</v>
      </c>
      <c r="M403" s="168"/>
      <c r="N403" s="175">
        <f ca="1">IFERROR(__xludf.DUMMYFUNCTION("IMPORTRANGE(""https://docs.google.com/spreadsheets/d/1IYY_tgx_IHuhSq3AJ5eI5OnqOPBNLWSHKh2a30DoXe8/edit?usp=sharing"",""พัทลุง!M298"")"),0)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2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IFERROR(__xludf.DUMMYFUNCTION("IMPORTRANGE(""https://docs.google.com/spreadsheets/d/1IYY_tgx_IHuhSq3AJ5eI5OnqOPBNLWSHKh2a30DoXe8/edit?usp=sharing"",""พัทลุง!M299"")"),147620)</f>
        <v>147620</v>
      </c>
      <c r="O404" s="175">
        <f t="shared" ca="1" si="111"/>
        <v>92.291341044076276</v>
      </c>
      <c r="P404" s="175"/>
    </row>
    <row r="405" spans="1:16" ht="21.75" customHeight="1" x14ac:dyDescent="0.2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IFERROR(__xludf.DUMMYFUNCTION("IMPORTRANGE(""https://docs.google.com/spreadsheets/d/1IYY_tgx_IHuhSq3AJ5eI5OnqOPBNLWSHKh2a30DoXe8/edit?usp=sharing"",""พัทลุง!L300"")"),0)</f>
        <v>0</v>
      </c>
      <c r="M405" s="175"/>
      <c r="N405" s="175">
        <f ca="1">IFERROR(__xludf.DUMMYFUNCTION("IMPORTRANGE(""https://docs.google.com/spreadsheets/d/1IYY_tgx_IHuhSq3AJ5eI5OnqOPBNLWSHKh2a30DoXe8/edit?usp=sharing"",""พัทลุง!M300"")"),0)</f>
        <v>0</v>
      </c>
      <c r="O405" s="175">
        <f t="shared" ca="1" si="111"/>
        <v>0</v>
      </c>
      <c r="P405" s="175"/>
    </row>
    <row r="406" spans="1:16" ht="21.75" customHeight="1" x14ac:dyDescent="0.2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IFERROR(__xludf.DUMMYFUNCTION("IMPORTRANGE(""https://docs.google.com/spreadsheets/d/1IYY_tgx_IHuhSq3AJ5eI5OnqOPBNLWSHKh2a30DoXe8/edit?usp=sharing"",""พัทลุง!L301"")"),159950)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IFERROR(__xludf.DUMMYFUNCTION("IMPORTRANGE(""https://docs.google.com/spreadsheets/d/1IYY_tgx_IHuhSq3AJ5eI5OnqOPBNLWSHKh2a30DoXe8/edit?usp=sharing"",""พัทลุง!M301"")"),147620)</f>
        <v>147620</v>
      </c>
      <c r="O406" s="175">
        <f t="shared" ca="1" si="111"/>
        <v>92.291341044076276</v>
      </c>
      <c r="P406" s="175"/>
    </row>
    <row r="407" spans="1:16" ht="21.75" customHeight="1" x14ac:dyDescent="0.2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IFERROR(__xludf.DUMMYFUNCTION("IMPORTRANGE(""https://docs.google.com/spreadsheets/d/1IYY_tgx_IHuhSq3AJ5eI5OnqOPBNLWSHKh2a30DoXe8/edit?usp=sharing"",""พัทลุง!M302"")"),97550)</f>
        <v>97550</v>
      </c>
      <c r="O407" s="175"/>
      <c r="P407" s="175"/>
    </row>
    <row r="408" spans="1:16" ht="21.75" customHeight="1" x14ac:dyDescent="0.2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IFERROR(__xludf.DUMMYFUNCTION("IMPORTRANGE(""https://docs.google.com/spreadsheets/d/1IYY_tgx_IHuhSq3AJ5eI5OnqOPBNLWSHKh2a30DoXe8/edit?usp=sharing"",""พัทลุง!M303"")"),32500)</f>
        <v>32500</v>
      </c>
      <c r="O408" s="175"/>
      <c r="P408" s="175"/>
    </row>
    <row r="409" spans="1:16" ht="21.75" customHeight="1" x14ac:dyDescent="0.2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5"/>
      <c r="P409" s="175"/>
    </row>
    <row r="410" spans="1:16" ht="21.75" customHeight="1" x14ac:dyDescent="0.2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IFERROR(__xludf.DUMMYFUNCTION("IMPORTRANGE(""https://docs.google.com/spreadsheets/d/1IYY_tgx_IHuhSq3AJ5eI5OnqOPBNLWSHKh2a30DoXe8/edit?usp=sharing"",""พัทลุง!M305"")"),17570)</f>
        <v>17570</v>
      </c>
      <c r="O410" s="175"/>
      <c r="P410" s="175"/>
    </row>
    <row r="411" spans="1:16" ht="21.75" customHeight="1" x14ac:dyDescent="0.2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2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IFERROR(__xludf.DUMMYFUNCTION("IMPORTRANGE(""https://docs.google.com/spreadsheets/d/1IYY_tgx_IHuhSq3AJ5eI5OnqOPBNLWSHKh2a30DoXe8/edit?usp=sharing"",""พัทลุง!J307"")"),0)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2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IFERROR(__xludf.DUMMYFUNCTION("IMPORTRANGE(""https://docs.google.com/spreadsheets/d/1IYY_tgx_IHuhSq3AJ5eI5OnqOPBNLWSHKh2a30DoXe8/edit?usp=sharing"",""พัทลุง!J308"")"),1)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2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IFERROR(__xludf.DUMMYFUNCTION("IMPORTRANGE(""https://docs.google.com/spreadsheets/d/1IYY_tgx_IHuhSq3AJ5eI5OnqOPBNLWSHKh2a30DoXe8/edit?usp=sharing"",""พัทลุง!J309"")"),1)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2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IFERROR(__xludf.DUMMYFUNCTION("IMPORTRANGE(""https://docs.google.com/spreadsheets/d/1IYY_tgx_IHuhSq3AJ5eI5OnqOPBNLWSHKh2a30DoXe8/edit?usp=sharing"",""พัทลุง!J310"")"),1)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2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IFERROR(__xludf.DUMMYFUNCTION("IMPORTRANGE(""https://docs.google.com/spreadsheets/d/1IYY_tgx_IHuhSq3AJ5eI5OnqOPBNLWSHKh2a30DoXe8/edit?usp=sharing"",""พัทลุง!I311"")"),45)</f>
        <v>45</v>
      </c>
      <c r="J416" s="207">
        <f ca="1">IFERROR(__xludf.DUMMYFUNCTION("IMPORTRANGE(""https://docs.google.com/spreadsheets/d/1IYY_tgx_IHuhSq3AJ5eI5OnqOPBNLWSHKh2a30DoXe8/edit?usp=sharing"",""พัทลุง!J311"")"),45)</f>
        <v>45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3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IFERROR(__xludf.DUMMYFUNCTION("IMPORTRANGE(""https://docs.google.com/spreadsheets/d/1IYY_tgx_IHuhSq3AJ5eI5OnqOPBNLWSHKh2a30DoXe8/edit?usp=sharing"",""พัทลุง!J312"")"),10)</f>
        <v>10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3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IFERROR(__xludf.DUMMYFUNCTION("IMPORTRANGE(""https://docs.google.com/spreadsheets/d/1IYY_tgx_IHuhSq3AJ5eI5OnqOPBNLWSHKh2a30DoXe8/edit?usp=sharing"",""พัทลุง!J313"")"),30)</f>
        <v>30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3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3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IFERROR(__xludf.DUMMYFUNCTION("IMPORTRANGE(""https://docs.google.com/spreadsheets/d/1IYY_tgx_IHuhSq3AJ5eI5OnqOPBNLWSHKh2a30DoXe8/edit?usp=sharing"",""พัทลุง!J315"")"),10)</f>
        <v>10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3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IFERROR(__xludf.DUMMYFUNCTION("IMPORTRANGE(""https://docs.google.com/spreadsheets/d/1IYY_tgx_IHuhSq3AJ5eI5OnqOPBNLWSHKh2a30DoXe8/edit?usp=sharing"",""พัทลุง!J316"")"),25)</f>
        <v>25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3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IFERROR(__xludf.DUMMYFUNCTION("IMPORTRANGE(""https://docs.google.com/spreadsheets/d/1IYY_tgx_IHuhSq3AJ5eI5OnqOPBNLWSHKh2a30DoXe8/edit?usp=sharing"",""พัทลุง!J317"")"),75)</f>
        <v>75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3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IFERROR(__xludf.DUMMYFUNCTION("IMPORTRANGE(""https://docs.google.com/spreadsheets/d/1IYY_tgx_IHuhSq3AJ5eI5OnqOPBNLWSHKh2a30DoXe8/edit?usp=sharing"",""พัทลุง!J318"")"),25)</f>
        <v>25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3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IFERROR(__xludf.DUMMYFUNCTION("IMPORTRANGE(""https://docs.google.com/spreadsheets/d/1IYY_tgx_IHuhSq3AJ5eI5OnqOPBNLWSHKh2a30DoXe8/edit?usp=sharing"",""พัทลุง!J319"")"),25)</f>
        <v>25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3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IFERROR(__xludf.DUMMYFUNCTION("IMPORTRANGE(""https://docs.google.com/spreadsheets/d/1IYY_tgx_IHuhSq3AJ5eI5OnqOPBNLWSHKh2a30DoXe8/edit?usp=sharing"",""พัทลุง!J320"")"),25)</f>
        <v>25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3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3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3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3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3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IFERROR(__xludf.DUMMYFUNCTION("IMPORTRANGE(""https://docs.google.com/spreadsheets/d/1IYY_tgx_IHuhSq3AJ5eI5OnqOPBNLWSHKh2a30DoXe8/edit?usp=sharing"",""พัทลุง!J325"")"),35)</f>
        <v>35</v>
      </c>
      <c r="K430" s="208">
        <f t="shared" ca="1" si="112"/>
        <v>100</v>
      </c>
      <c r="L430" s="188"/>
      <c r="M430" s="188"/>
      <c r="N430" s="188"/>
      <c r="O430" s="188"/>
      <c r="P430" s="188"/>
    </row>
    <row r="431" spans="1:16" ht="21.75" customHeight="1" x14ac:dyDescent="0.3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IFERROR(__xludf.DUMMYFUNCTION("IMPORTRANGE(""https://docs.google.com/spreadsheets/d/1IYY_tgx_IHuhSq3AJ5eI5OnqOPBNLWSHKh2a30DoXe8/edit?usp=sharing"",""พัทลุง!J326"")"),10)</f>
        <v>10</v>
      </c>
      <c r="K431" s="167">
        <f t="shared" ca="1" si="112"/>
        <v>100</v>
      </c>
      <c r="L431" s="188"/>
      <c r="M431" s="188"/>
      <c r="N431" s="188"/>
      <c r="O431" s="188"/>
      <c r="P431" s="188"/>
    </row>
    <row r="432" spans="1:16" ht="21.75" customHeight="1" x14ac:dyDescent="0.3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IFERROR(__xludf.DUMMYFUNCTION("IMPORTRANGE(""https://docs.google.com/spreadsheets/d/1IYY_tgx_IHuhSq3AJ5eI5OnqOPBNLWSHKh2a30DoXe8/edit?usp=sharing"",""พัทลุง!J327"")"),25)</f>
        <v>25</v>
      </c>
      <c r="K432" s="167">
        <f t="shared" ca="1" si="112"/>
        <v>100</v>
      </c>
      <c r="L432" s="188"/>
      <c r="M432" s="188"/>
      <c r="N432" s="188"/>
      <c r="O432" s="188"/>
      <c r="P432" s="188"/>
    </row>
    <row r="433" spans="1:16" ht="21.75" customHeight="1" x14ac:dyDescent="0.2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IFERROR(__xludf.DUMMYFUNCTION("IMPORTRANGE(""https://docs.google.com/spreadsheets/d/1IYY_tgx_IHuhSq3AJ5eI5OnqOPBNLWSHKh2a30DoXe8/edit?usp=sharing"",""พัทลุง!J328"")"),0)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2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IFERROR(__xludf.DUMMYFUNCTION("IMPORTRANGE(""https://docs.google.com/spreadsheets/d/1IYY_tgx_IHuhSq3AJ5eI5OnqOPBNLWSHKh2a30DoXe8/edit?usp=sharing"",""พัทลุง!J329"")"),0)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2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IFERROR(__xludf.DUMMYFUNCTION("IMPORTRANGE(""https://docs.google.com/spreadsheets/d/1IYY_tgx_IHuhSq3AJ5eI5OnqOPBNLWSHKh2a30DoXe8/edit?usp=sharing"",""พัทลุง!M330"")"),187680)</f>
        <v>187680</v>
      </c>
      <c r="O435" s="418">
        <f t="shared" ref="O435:O439" ca="1" si="113">+IF(L435&gt;0,N435*100/L435,0)</f>
        <v>87.741935483870961</v>
      </c>
      <c r="P435" s="418"/>
    </row>
    <row r="436" spans="1:16" ht="21.75" customHeight="1" x14ac:dyDescent="0.2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IFERROR(__xludf.DUMMYFUNCTION("IMPORTRANGE(""https://docs.google.com/spreadsheets/d/1IYY_tgx_IHuhSq3AJ5eI5OnqOPBNLWSHKh2a30DoXe8/edit?usp=sharing"",""พัทลุง!L331"")"),0)</f>
        <v>0</v>
      </c>
      <c r="M436" s="168"/>
      <c r="N436" s="175">
        <f ca="1">IFERROR(__xludf.DUMMYFUNCTION("IMPORTRANGE(""https://docs.google.com/spreadsheets/d/1IYY_tgx_IHuhSq3AJ5eI5OnqOPBNLWSHKh2a30DoXe8/edit?usp=sharing"",""พัทลุง!M331"")"),0)</f>
        <v>0</v>
      </c>
      <c r="O436" s="175">
        <f t="shared" ca="1" si="113"/>
        <v>0</v>
      </c>
      <c r="P436" s="175"/>
    </row>
    <row r="437" spans="1:16" ht="21.75" customHeight="1" x14ac:dyDescent="0.25">
      <c r="A437" s="162"/>
      <c r="B437" s="163"/>
      <c r="C437" s="163"/>
      <c r="D437" s="170"/>
      <c r="E437" s="171"/>
      <c r="F437" s="171" t="s">
        <v>39</v>
      </c>
      <c r="G437" s="384" t="s">
        <v>277</v>
      </c>
      <c r="H437" s="165" t="s">
        <v>12</v>
      </c>
      <c r="I437" s="166"/>
      <c r="J437" s="166"/>
      <c r="K437" s="167"/>
      <c r="L437" s="571">
        <f ca="1">IFERROR(__xludf.DUMMYFUNCTION("IMPORTRANGE(""https://docs.google.com/spreadsheets/d/1IYY_tgx_IHuhSq3AJ5eI5OnqOPBNLWSHKh2a30DoXe8/edit?usp=sharing"",""พัทลุง!L332"")"),213900)</f>
        <v>213900</v>
      </c>
      <c r="M437" s="169"/>
      <c r="N437" s="175">
        <f ca="1">IFERROR(__xludf.DUMMYFUNCTION("IMPORTRANGE(""https://docs.google.com/spreadsheets/d/1IYY_tgx_IHuhSq3AJ5eI5OnqOPBNLWSHKh2a30DoXe8/edit?usp=sharing"",""พัทลุง!M332"")"),187680)</f>
        <v>187680</v>
      </c>
      <c r="O437" s="175">
        <f t="shared" ca="1" si="113"/>
        <v>87.741935483870961</v>
      </c>
      <c r="P437" s="175"/>
    </row>
    <row r="438" spans="1:16" ht="21.75" customHeight="1" x14ac:dyDescent="0.2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IFERROR(__xludf.DUMMYFUNCTION("IMPORTRANGE(""https://docs.google.com/spreadsheets/d/1IYY_tgx_IHuhSq3AJ5eI5OnqOPBNLWSHKh2a30DoXe8/edit?usp=sharing"",""พัทลุง!L333"")"),0)</f>
        <v>0</v>
      </c>
      <c r="M438" s="175"/>
      <c r="N438" s="175">
        <f ca="1">IFERROR(__xludf.DUMMYFUNCTION("IMPORTRANGE(""https://docs.google.com/spreadsheets/d/1IYY_tgx_IHuhSq3AJ5eI5OnqOPBNLWSHKh2a30DoXe8/edit?usp=sharing"",""พัทลุง!M333"")"),0)</f>
        <v>0</v>
      </c>
      <c r="O438" s="175">
        <f t="shared" ca="1" si="113"/>
        <v>0</v>
      </c>
      <c r="P438" s="175"/>
    </row>
    <row r="439" spans="1:16" ht="21.75" customHeight="1" x14ac:dyDescent="0.2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IFERROR(__xludf.DUMMYFUNCTION("IMPORTRANGE(""https://docs.google.com/spreadsheets/d/1IYY_tgx_IHuhSq3AJ5eI5OnqOPBNLWSHKh2a30DoXe8/edit?usp=sharing"",""พัทลุง!L334"")"),110900)</f>
        <v>110900</v>
      </c>
      <c r="M439" s="175"/>
      <c r="N439" s="175">
        <f ca="1">IFERROR(__xludf.DUMMYFUNCTION("IMPORTRANGE(""https://docs.google.com/spreadsheets/d/1IYY_tgx_IHuhSq3AJ5eI5OnqOPBNLWSHKh2a30DoXe8/edit?usp=sharing"",""พัทลุง!M334"")"),84680)</f>
        <v>84680</v>
      </c>
      <c r="O439" s="175">
        <f t="shared" ca="1" si="113"/>
        <v>76.357078449053205</v>
      </c>
      <c r="P439" s="175"/>
    </row>
    <row r="440" spans="1:16" ht="21.75" customHeight="1" x14ac:dyDescent="0.2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IFERROR(__xludf.DUMMYFUNCTION("IMPORTRANGE(""https://docs.google.com/spreadsheets/d/1IYY_tgx_IHuhSq3AJ5eI5OnqOPBNLWSHKh2a30DoXe8/edit?usp=sharing"",""พัทลุง!M335"")"),57190)</f>
        <v>57190</v>
      </c>
      <c r="O440" s="175"/>
      <c r="P440" s="175"/>
    </row>
    <row r="441" spans="1:16" ht="21.75" customHeight="1" x14ac:dyDescent="0.2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5"/>
      <c r="P441" s="175"/>
    </row>
    <row r="442" spans="1:16" ht="21.75" customHeight="1" x14ac:dyDescent="0.2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IFERROR(__xludf.DUMMYFUNCTION("IMPORTRANGE(""https://docs.google.com/spreadsheets/d/1IYY_tgx_IHuhSq3AJ5eI5OnqOPBNLWSHKh2a30DoXe8/edit?usp=sharing"",""พัทลุง!M337"")"),0)</f>
        <v>0</v>
      </c>
      <c r="O442" s="175"/>
      <c r="P442" s="175"/>
    </row>
    <row r="443" spans="1:16" ht="21.75" customHeight="1" x14ac:dyDescent="0.2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IFERROR(__xludf.DUMMYFUNCTION("IMPORTRANGE(""https://docs.google.com/spreadsheets/d/1IYY_tgx_IHuhSq3AJ5eI5OnqOPBNLWSHKh2a30DoXe8/edit?usp=sharing"",""พัทลุง!M338"")"),27490)</f>
        <v>27490</v>
      </c>
      <c r="O443" s="175"/>
      <c r="P443" s="175"/>
    </row>
    <row r="444" spans="1:16" ht="21.75" customHeight="1" x14ac:dyDescent="0.2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2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IFERROR(__xludf.DUMMYFUNCTION("IMPORTRANGE(""https://docs.google.com/spreadsheets/d/1IYY_tgx_IHuhSq3AJ5eI5OnqOPBNLWSHKh2a30DoXe8/edit?usp=sharing"",""พัทลุง!J340"")"),0)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2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IFERROR(__xludf.DUMMYFUNCTION("IMPORTRANGE(""https://docs.google.com/spreadsheets/d/1IYY_tgx_IHuhSq3AJ5eI5OnqOPBNLWSHKh2a30DoXe8/edit?usp=sharing"",""พัทลุง!J341"")"),1)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2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IFERROR(__xludf.DUMMYFUNCTION("IMPORTRANGE(""https://docs.google.com/spreadsheets/d/1IYY_tgx_IHuhSq3AJ5eI5OnqOPBNLWSHKh2a30DoXe8/edit?usp=sharing"",""พัทลุง!J342"")"),1)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2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IFERROR(__xludf.DUMMYFUNCTION("IMPORTRANGE(""https://docs.google.com/spreadsheets/d/1IYY_tgx_IHuhSq3AJ5eI5OnqOPBNLWSHKh2a30DoXe8/edit?usp=sharing"",""พัทลุง!J343"")"),1)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2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7">
        <f ca="1">IFERROR(__xludf.DUMMYFUNCTION("IMPORTRANGE(""https://docs.google.com/spreadsheets/d/1IYY_tgx_IHuhSq3AJ5eI5OnqOPBNLWSHKh2a30DoXe8/edit?usp=sharing"",""พัทลุง!J344"")"),25)</f>
        <v>25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2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5">
        <f ca="1">IFERROR(__xludf.DUMMYFUNCTION("IMPORTRANGE(""https://docs.google.com/spreadsheets/d/1IYY_tgx_IHuhSq3AJ5eI5OnqOPBNLWSHKh2a30DoXe8/edit?usp=sharing"",""พัทลุง!J345"")"),25)</f>
        <v>25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2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4">
        <f ca="1">IFERROR(__xludf.DUMMYFUNCTION("IMPORTRANGE(""https://docs.google.com/spreadsheets/d/1IYY_tgx_IHuhSq3AJ5eI5OnqOPBNLWSHKh2a30DoXe8/edit?usp=sharing"",""พัทลุง!J346"")"),0)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2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IFERROR(__xludf.DUMMYFUNCTION("IMPORTRANGE(""https://docs.google.com/spreadsheets/d/1IYY_tgx_IHuhSq3AJ5eI5OnqOPBNLWSHKh2a30DoXe8/edit?usp=sharing"",""พัทลุง!I347"")"),0)</f>
        <v>0</v>
      </c>
      <c r="J452" s="194">
        <f ca="1">IFERROR(__xludf.DUMMYFUNCTION("IMPORTRANGE(""https://docs.google.com/spreadsheets/d/1IYY_tgx_IHuhSq3AJ5eI5OnqOPBNLWSHKh2a30DoXe8/edit?usp=sharing"",""พัทลุง!J347"")"),0)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2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IFERROR(__xludf.DUMMYFUNCTION("IMPORTRANGE(""https://docs.google.com/spreadsheets/d/1IYY_tgx_IHuhSq3AJ5eI5OnqOPBNLWSHKh2a30DoXe8/edit?usp=sharing"",""พัทลุง!J348"")"),1)</f>
        <v>1</v>
      </c>
      <c r="K453" s="167"/>
      <c r="L453" s="188"/>
      <c r="M453" s="188"/>
      <c r="N453" s="188"/>
      <c r="O453" s="188"/>
      <c r="P453" s="188"/>
    </row>
    <row r="454" spans="1:16" ht="21.75" customHeight="1" x14ac:dyDescent="0.2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IFERROR(__xludf.DUMMYFUNCTION("IMPORTRANGE(""https://docs.google.com/spreadsheets/d/1IYY_tgx_IHuhSq3AJ5eI5OnqOPBNLWSHKh2a30DoXe8/edit?usp=sharing"",""พัทลุง!J349"")"),0)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2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IFERROR(__xludf.DUMMYFUNCTION("IMPORTRANGE(""https://docs.google.com/spreadsheets/d/1IYY_tgx_IHuhSq3AJ5eI5OnqOPBNLWSHKh2a30DoXe8/edit?usp=sharing"",""พัทลุง!J350"")"),29775)</f>
        <v>29775</v>
      </c>
      <c r="K455" s="378">
        <f ca="1">IF(I455&gt;0,J455*100/I455,0)</f>
        <v>100.00335863505072</v>
      </c>
      <c r="L455" s="379">
        <f ca="1">IFERROR(__xludf.DUMMYFUNCTION("IMPORTRANGE(""https://docs.google.com/spreadsheets/d/1IYY_tgx_IHuhSq3AJ5eI5OnqOPBNLWSHKh2a30DoXe8/edit?usp=sharing"",""พัทลุง!L350"")"),349252)</f>
        <v>349252</v>
      </c>
      <c r="M455" s="379"/>
      <c r="N455" s="379">
        <f ca="1">IFERROR(__xludf.DUMMYFUNCTION("IMPORTRANGE(""https://docs.google.com/spreadsheets/d/1IYY_tgx_IHuhSq3AJ5eI5OnqOPBNLWSHKh2a30DoXe8/edit?usp=sharing"",""พัทลุง!M350"")"),154654.21)</f>
        <v>154654.21</v>
      </c>
      <c r="O455" s="379">
        <f t="shared" ref="O455:O459" ca="1" si="115">+IF(L455&gt;0,N455*100/L455,0)</f>
        <v>44.281553147870305</v>
      </c>
      <c r="P455" s="379"/>
    </row>
    <row r="456" spans="1:16" ht="21.75" customHeight="1" x14ac:dyDescent="0.2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IFERROR(__xludf.DUMMYFUNCTION("IMPORTRANGE(""https://docs.google.com/spreadsheets/d/1IYY_tgx_IHuhSq3AJ5eI5OnqOPBNLWSHKh2a30DoXe8/edit?usp=sharing"",""พัทลุง!L351"")"),0)</f>
        <v>0</v>
      </c>
      <c r="M456" s="168"/>
      <c r="N456" s="175">
        <f ca="1">IFERROR(__xludf.DUMMYFUNCTION("IMPORTRANGE(""https://docs.google.com/spreadsheets/d/1IYY_tgx_IHuhSq3AJ5eI5OnqOPBNLWSHKh2a30DoXe8/edit?usp=sharing"",""พัทลุง!M351"")"),0)</f>
        <v>0</v>
      </c>
      <c r="O456" s="175">
        <f t="shared" ca="1" si="115"/>
        <v>0</v>
      </c>
      <c r="P456" s="175"/>
    </row>
    <row r="457" spans="1:16" ht="21.75" customHeight="1" x14ac:dyDescent="0.2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IFERROR(__xludf.DUMMYFUNCTION("IMPORTRANGE(""https://docs.google.com/spreadsheets/d/1IYY_tgx_IHuhSq3AJ5eI5OnqOPBNLWSHKh2a30DoXe8/edit?usp=sharing"",""พัทลุง!L352"")"),349252)</f>
        <v>349252</v>
      </c>
      <c r="M457" s="169"/>
      <c r="N457" s="175">
        <f ca="1">IFERROR(__xludf.DUMMYFUNCTION("IMPORTRANGE(""https://docs.google.com/spreadsheets/d/1IYY_tgx_IHuhSq3AJ5eI5OnqOPBNLWSHKh2a30DoXe8/edit?usp=sharing"",""พัทลุง!M352"")"),154654.21)</f>
        <v>154654.21</v>
      </c>
      <c r="O457" s="175">
        <f t="shared" ca="1" si="115"/>
        <v>44.281553147870305</v>
      </c>
      <c r="P457" s="175"/>
    </row>
    <row r="458" spans="1:16" ht="21.75" customHeight="1" x14ac:dyDescent="0.2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IFERROR(__xludf.DUMMYFUNCTION("IMPORTRANGE(""https://docs.google.com/spreadsheets/d/1IYY_tgx_IHuhSq3AJ5eI5OnqOPBNLWSHKh2a30DoXe8/edit?usp=sharing"",""พัทลุง!L353"")"),0)</f>
        <v>0</v>
      </c>
      <c r="M458" s="175"/>
      <c r="N458" s="175">
        <f ca="1">IFERROR(__xludf.DUMMYFUNCTION("IMPORTRANGE(""https://docs.google.com/spreadsheets/d/1IYY_tgx_IHuhSq3AJ5eI5OnqOPBNLWSHKh2a30DoXe8/edit?usp=sharing"",""พัทลุง!M353"")"),0)</f>
        <v>0</v>
      </c>
      <c r="O458" s="175">
        <f t="shared" ca="1" si="115"/>
        <v>0</v>
      </c>
      <c r="P458" s="175"/>
    </row>
    <row r="459" spans="1:16" ht="21.75" customHeight="1" x14ac:dyDescent="0.2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IFERROR(__xludf.DUMMYFUNCTION("IMPORTRANGE(""https://docs.google.com/spreadsheets/d/1IYY_tgx_IHuhSq3AJ5eI5OnqOPBNLWSHKh2a30DoXe8/edit?usp=sharing"",""พัทลุง!L354"")"),349252)</f>
        <v>349252</v>
      </c>
      <c r="M459" s="175"/>
      <c r="N459" s="175">
        <f ca="1">IFERROR(__xludf.DUMMYFUNCTION("IMPORTRANGE(""https://docs.google.com/spreadsheets/d/1IYY_tgx_IHuhSq3AJ5eI5OnqOPBNLWSHKh2a30DoXe8/edit?usp=sharing"",""พัทลุง!M354"")"),154654.21)</f>
        <v>154654.21</v>
      </c>
      <c r="O459" s="175">
        <f t="shared" ca="1" si="115"/>
        <v>44.281553147870305</v>
      </c>
      <c r="P459" s="175"/>
    </row>
    <row r="460" spans="1:16" ht="21.75" customHeight="1" x14ac:dyDescent="0.2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IFERROR(__xludf.DUMMYFUNCTION("IMPORTRANGE(""https://docs.google.com/spreadsheets/d/1IYY_tgx_IHuhSq3AJ5eI5OnqOPBNLWSHKh2a30DoXe8/edit?usp=sharing"",""พัทลุง!M355"")"),0)</f>
        <v>0</v>
      </c>
      <c r="O460" s="175"/>
      <c r="P460" s="175"/>
    </row>
    <row r="461" spans="1:16" ht="21.75" customHeight="1" x14ac:dyDescent="0.2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IFERROR(__xludf.DUMMYFUNCTION("IMPORTRANGE(""https://docs.google.com/spreadsheets/d/1IYY_tgx_IHuhSq3AJ5eI5OnqOPBNLWSHKh2a30DoXe8/edit?usp=sharing"",""พัทลุง!M356"")"),0)</f>
        <v>0</v>
      </c>
      <c r="O461" s="175"/>
      <c r="P461" s="175"/>
    </row>
    <row r="462" spans="1:16" ht="21.75" customHeight="1" x14ac:dyDescent="0.2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IFERROR(__xludf.DUMMYFUNCTION("IMPORTRANGE(""https://docs.google.com/spreadsheets/d/1IYY_tgx_IHuhSq3AJ5eI5OnqOPBNLWSHKh2a30DoXe8/edit?usp=sharing"",""พัทลุง!M357"")"),84794.87)</f>
        <v>84794.87</v>
      </c>
      <c r="O462" s="175"/>
      <c r="P462" s="175"/>
    </row>
    <row r="463" spans="1:16" ht="21.75" customHeight="1" x14ac:dyDescent="0.2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IFERROR(__xludf.DUMMYFUNCTION("IMPORTRANGE(""https://docs.google.com/spreadsheets/d/1IYY_tgx_IHuhSq3AJ5eI5OnqOPBNLWSHKh2a30DoXe8/edit?usp=sharing"",""พัทลุง!M358"")"),69859.34)</f>
        <v>69859.34</v>
      </c>
      <c r="O463" s="175"/>
      <c r="P463" s="175"/>
    </row>
    <row r="464" spans="1:16" ht="21.75" customHeight="1" x14ac:dyDescent="0.2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IFERROR(__xludf.DUMMYFUNCTION("IMPORTRANGE(""https://docs.google.com/spreadsheets/d/1IYY_tgx_IHuhSq3AJ5eI5OnqOPBNLWSHKh2a30DoXe8/edit?usp=sharing"",""พัทลุง!I359"")"),29774)</f>
        <v>29774</v>
      </c>
      <c r="J464" s="273">
        <f ca="1">IFERROR(__xludf.DUMMYFUNCTION("IMPORTRANGE(""https://docs.google.com/spreadsheets/d/1IYY_tgx_IHuhSq3AJ5eI5OnqOPBNLWSHKh2a30DoXe8/edit?usp=sharing"",""พัทลุง!J359"")"),29775)</f>
        <v>29775</v>
      </c>
      <c r="K464" s="274">
        <f t="shared" ref="K464:K515" ca="1" si="116">IF(I464&gt;0,J464*100/I464,0)</f>
        <v>100.00335863505072</v>
      </c>
      <c r="L464" s="298"/>
      <c r="M464" s="298"/>
      <c r="N464" s="298"/>
      <c r="O464" s="298"/>
      <c r="P464" s="298"/>
    </row>
    <row r="465" spans="1:16" ht="21.75" customHeight="1" x14ac:dyDescent="0.2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IFERROR(__xludf.DUMMYFUNCTION("IMPORTRANGE(""https://docs.google.com/spreadsheets/d/1IYY_tgx_IHuhSq3AJ5eI5OnqOPBNLWSHKh2a30DoXe8/edit?usp=sharing"",""พัทลุง!J360"")"),29776)</f>
        <v>29776</v>
      </c>
      <c r="K465" s="208">
        <f t="shared" ca="1" si="116"/>
        <v>100.00671727010143</v>
      </c>
      <c r="L465" s="188"/>
      <c r="M465" s="188"/>
      <c r="N465" s="188"/>
      <c r="O465" s="188"/>
      <c r="P465" s="188"/>
    </row>
    <row r="466" spans="1:16" ht="21.75" customHeight="1" x14ac:dyDescent="0.2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2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IFERROR(__xludf.DUMMYFUNCTION("IMPORTRANGE(""https://docs.google.com/spreadsheets/d/1IYY_tgx_IHuhSq3AJ5eI5OnqOPBNLWSHKh2a30DoXe8/edit?usp=sharing"",""พัทลุง!I362"")"),0)</f>
        <v>0</v>
      </c>
      <c r="J467" s="195">
        <f ca="1">IFERROR(__xludf.DUMMYFUNCTION("IMPORTRANGE(""https://docs.google.com/spreadsheets/d/1IYY_tgx_IHuhSq3AJ5eI5OnqOPBNLWSHKh2a30DoXe8/edit?usp=sharing"",""พัทลุง!J362"")"),25982)</f>
        <v>25982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2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IFERROR(__xludf.DUMMYFUNCTION("IMPORTRANGE(""https://docs.google.com/spreadsheets/d/1IYY_tgx_IHuhSq3AJ5eI5OnqOPBNLWSHKh2a30DoXe8/edit?usp=sharing"",""พัทลุง!I363"")"),0)</f>
        <v>0</v>
      </c>
      <c r="J468" s="195">
        <f ca="1">IFERROR(__xludf.DUMMYFUNCTION("IMPORTRANGE(""https://docs.google.com/spreadsheets/d/1IYY_tgx_IHuhSq3AJ5eI5OnqOPBNLWSHKh2a30DoXe8/edit?usp=sharing"",""พัทลุง!J363"")"),4969)</f>
        <v>4969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2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IFERROR(__xludf.DUMMYFUNCTION("IMPORTRANGE(""https://docs.google.com/spreadsheets/d/1IYY_tgx_IHuhSq3AJ5eI5OnqOPBNLWSHKh2a30DoXe8/edit?usp=sharing"",""พัทลุง!I364"")"),0)</f>
        <v>0</v>
      </c>
      <c r="J469" s="195">
        <f ca="1">IFERROR(__xludf.DUMMYFUNCTION("IMPORTRANGE(""https://docs.google.com/spreadsheets/d/1IYY_tgx_IHuhSq3AJ5eI5OnqOPBNLWSHKh2a30DoXe8/edit?usp=sharing"",""พัทลุง!J364"")"),3524)</f>
        <v>3524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2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IFERROR(__xludf.DUMMYFUNCTION("IMPORTRANGE(""https://docs.google.com/spreadsheets/d/1IYY_tgx_IHuhSq3AJ5eI5OnqOPBNLWSHKh2a30DoXe8/edit?usp=sharing"",""พัทลุง!I365"")"),0)</f>
        <v>0</v>
      </c>
      <c r="J470" s="195">
        <f ca="1">IFERROR(__xludf.DUMMYFUNCTION("IMPORTRANGE(""https://docs.google.com/spreadsheets/d/1IYY_tgx_IHuhSq3AJ5eI5OnqOPBNLWSHKh2a30DoXe8/edit?usp=sharing"",""พัทลุง!J365"")"),521)</f>
        <v>521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2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IFERROR(__xludf.DUMMYFUNCTION("IMPORTRANGE(""https://docs.google.com/spreadsheets/d/1IYY_tgx_IHuhSq3AJ5eI5OnqOPBNLWSHKh2a30DoXe8/edit?usp=sharing"",""พัทลุง!I366"")"),0)</f>
        <v>0</v>
      </c>
      <c r="J471" s="195">
        <f ca="1">IFERROR(__xludf.DUMMYFUNCTION("IMPORTRANGE(""https://docs.google.com/spreadsheets/d/1IYY_tgx_IHuhSq3AJ5eI5OnqOPBNLWSHKh2a30DoXe8/edit?usp=sharing"",""พัทลุง!J366"")"),270)</f>
        <v>270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2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IFERROR(__xludf.DUMMYFUNCTION("IMPORTRANGE(""https://docs.google.com/spreadsheets/d/1IYY_tgx_IHuhSq3AJ5eI5OnqOPBNLWSHKh2a30DoXe8/edit?usp=sharing"",""พัทลุง!I367"")"),0)</f>
        <v>0</v>
      </c>
      <c r="J472" s="195">
        <f ca="1">IFERROR(__xludf.DUMMYFUNCTION("IMPORTRANGE(""https://docs.google.com/spreadsheets/d/1IYY_tgx_IHuhSq3AJ5eI5OnqOPBNLWSHKh2a30DoXe8/edit?usp=sharing"",""พัทลุง!J367"")"),50)</f>
        <v>50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2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8">
        <f t="shared" ca="1" si="116"/>
        <v>100.00335863505072</v>
      </c>
      <c r="L473" s="188"/>
      <c r="M473" s="188"/>
      <c r="N473" s="188"/>
      <c r="O473" s="188"/>
      <c r="P473" s="188"/>
    </row>
    <row r="474" spans="1:16" ht="21.75" customHeight="1" x14ac:dyDescent="0.2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2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IFERROR(__xludf.DUMMYFUNCTION("IMPORTRANGE(""https://docs.google.com/spreadsheets/d/1IYY_tgx_IHuhSq3AJ5eI5OnqOPBNLWSHKh2a30DoXe8/edit?usp=sharing"",""พัทลุง!I370"")"),0)</f>
        <v>0</v>
      </c>
      <c r="J475" s="195">
        <f ca="1">IFERROR(__xludf.DUMMYFUNCTION("IMPORTRANGE(""https://docs.google.com/spreadsheets/d/1IYY_tgx_IHuhSq3AJ5eI5OnqOPBNLWSHKh2a30DoXe8/edit?usp=sharing"",""พัทลุง!J370"")"),28752)</f>
        <v>28752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2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IFERROR(__xludf.DUMMYFUNCTION("IMPORTRANGE(""https://docs.google.com/spreadsheets/d/1IYY_tgx_IHuhSq3AJ5eI5OnqOPBNLWSHKh2a30DoXe8/edit?usp=sharing"",""พัทลุง!I371"")"),0)</f>
        <v>0</v>
      </c>
      <c r="J476" s="195">
        <f ca="1">IFERROR(__xludf.DUMMYFUNCTION("IMPORTRANGE(""https://docs.google.com/spreadsheets/d/1IYY_tgx_IHuhSq3AJ5eI5OnqOPBNLWSHKh2a30DoXe8/edit?usp=sharing"",""พัทลุง!J371"")"),5349)</f>
        <v>5349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2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IFERROR(__xludf.DUMMYFUNCTION("IMPORTRANGE(""https://docs.google.com/spreadsheets/d/1IYY_tgx_IHuhSq3AJ5eI5OnqOPBNLWSHKh2a30DoXe8/edit?usp=sharing"",""พัทลุง!I372"")"),0)</f>
        <v>0</v>
      </c>
      <c r="J477" s="195">
        <f ca="1">IFERROR(__xludf.DUMMYFUNCTION("IMPORTRANGE(""https://docs.google.com/spreadsheets/d/1IYY_tgx_IHuhSq3AJ5eI5OnqOPBNLWSHKh2a30DoXe8/edit?usp=sharing"",""พัทลุง!J372"")"),589)</f>
        <v>589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2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IFERROR(__xludf.DUMMYFUNCTION("IMPORTRANGE(""https://docs.google.com/spreadsheets/d/1IYY_tgx_IHuhSq3AJ5eI5OnqOPBNLWSHKh2a30DoXe8/edit?usp=sharing"",""พัทลุง!I373"")"),0)</f>
        <v>0</v>
      </c>
      <c r="J478" s="195">
        <f ca="1">IFERROR(__xludf.DUMMYFUNCTION("IMPORTRANGE(""https://docs.google.com/spreadsheets/d/1IYY_tgx_IHuhSq3AJ5eI5OnqOPBNLWSHKh2a30DoXe8/edit?usp=sharing"",""พัทลุง!J373"")"),123)</f>
        <v>123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2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IFERROR(__xludf.DUMMYFUNCTION("IMPORTRANGE(""https://docs.google.com/spreadsheets/d/1IYY_tgx_IHuhSq3AJ5eI5OnqOPBNLWSHKh2a30DoXe8/edit?usp=sharing"",""พัทลุง!I374"")"),0)</f>
        <v>0</v>
      </c>
      <c r="J479" s="195">
        <f ca="1">IFERROR(__xludf.DUMMYFUNCTION("IMPORTRANGE(""https://docs.google.com/spreadsheets/d/1IYY_tgx_IHuhSq3AJ5eI5OnqOPBNLWSHKh2a30DoXe8/edit?usp=sharing"",""พัทลุง!J374"")"),434)</f>
        <v>434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2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IFERROR(__xludf.DUMMYFUNCTION("IMPORTRANGE(""https://docs.google.com/spreadsheets/d/1IYY_tgx_IHuhSq3AJ5eI5OnqOPBNLWSHKh2a30DoXe8/edit?usp=sharing"",""พัทลุง!I375"")"),0)</f>
        <v>0</v>
      </c>
      <c r="J480" s="195">
        <f ca="1">IFERROR(__xludf.DUMMYFUNCTION("IMPORTRANGE(""https://docs.google.com/spreadsheets/d/1IYY_tgx_IHuhSq3AJ5eI5OnqOPBNLWSHKh2a30DoXe8/edit?usp=sharing"",""พัทลุง!J375"")"),68)</f>
        <v>68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2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IFERROR(__xludf.DUMMYFUNCTION("IMPORTRANGE(""https://docs.google.com/spreadsheets/d/1IYY_tgx_IHuhSq3AJ5eI5OnqOPBNLWSHKh2a30DoXe8/edit?usp=sharing"",""พัทลุง!J376"")"),29775)</f>
        <v>29775</v>
      </c>
      <c r="K481" s="208">
        <f t="shared" ca="1" si="116"/>
        <v>100.00335863505072</v>
      </c>
      <c r="L481" s="436"/>
      <c r="M481" s="436"/>
      <c r="N481" s="436"/>
      <c r="O481" s="436"/>
      <c r="P481" s="436"/>
    </row>
    <row r="482" spans="1:16" ht="21.75" customHeight="1" x14ac:dyDescent="0.2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IFERROR(__xludf.DUMMYFUNCTION("IMPORTRANGE(""https://docs.google.com/spreadsheets/d/1IYY_tgx_IHuhSq3AJ5eI5OnqOPBNLWSHKh2a30DoXe8/edit?usp=sharing"",""พัทลุง!J377"")"),5540)</f>
        <v>5540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2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IFERROR(__xludf.DUMMYFUNCTION("IMPORTRANGE(""https://docs.google.com/spreadsheets/d/1IYY_tgx_IHuhSq3AJ5eI5OnqOPBNLWSHKh2a30DoXe8/edit?usp=sharing"",""พัทลุง!I378"")"),0)</f>
        <v>0</v>
      </c>
      <c r="J483" s="195">
        <f ca="1">IFERROR(__xludf.DUMMYFUNCTION("IMPORTRANGE(""https://docs.google.com/spreadsheets/d/1IYY_tgx_IHuhSq3AJ5eI5OnqOPBNLWSHKh2a30DoXe8/edit?usp=sharing"",""พัทลุง!J378"")"),26399)</f>
        <v>26399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2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IFERROR(__xludf.DUMMYFUNCTION("IMPORTRANGE(""https://docs.google.com/spreadsheets/d/1IYY_tgx_IHuhSq3AJ5eI5OnqOPBNLWSHKh2a30DoXe8/edit?usp=sharing"",""พัทลุง!I379"")"),0)</f>
        <v>0</v>
      </c>
      <c r="J484" s="195">
        <f ca="1">IFERROR(__xludf.DUMMYFUNCTION("IMPORTRANGE(""https://docs.google.com/spreadsheets/d/1IYY_tgx_IHuhSq3AJ5eI5OnqOPBNLWSHKh2a30DoXe8/edit?usp=sharing"",""พัทลุง!J379"")"),5068)</f>
        <v>5068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2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IFERROR(__xludf.DUMMYFUNCTION("IMPORTRANGE(""https://docs.google.com/spreadsheets/d/1IYY_tgx_IHuhSq3AJ5eI5OnqOPBNLWSHKh2a30DoXe8/edit?usp=sharing"",""พัทลุง!I380"")"),0)</f>
        <v>0</v>
      </c>
      <c r="J485" s="195">
        <f ca="1">IFERROR(__xludf.DUMMYFUNCTION("IMPORTRANGE(""https://docs.google.com/spreadsheets/d/1IYY_tgx_IHuhSq3AJ5eI5OnqOPBNLWSHKh2a30DoXe8/edit?usp=sharing"",""พัทลุง!J380"")"),2942)</f>
        <v>2942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2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IFERROR(__xludf.DUMMYFUNCTION("IMPORTRANGE(""https://docs.google.com/spreadsheets/d/1IYY_tgx_IHuhSq3AJ5eI5OnqOPBNLWSHKh2a30DoXe8/edit?usp=sharing"",""พัทลุง!I381"")"),0)</f>
        <v>0</v>
      </c>
      <c r="J486" s="195">
        <f ca="1">IFERROR(__xludf.DUMMYFUNCTION("IMPORTRANGE(""https://docs.google.com/spreadsheets/d/1IYY_tgx_IHuhSq3AJ5eI5OnqOPBNLWSHKh2a30DoXe8/edit?usp=sharing"",""พัทลุง!J381"")"),404)</f>
        <v>404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2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2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2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IFERROR(__xludf.DUMMYFUNCTION("IMPORTRANGE(""https://docs.google.com/spreadsheets/d/1IYY_tgx_IHuhSq3AJ5eI5OnqOPBNLWSHKh2a30DoXe8/edit?usp=sharing"",""พัทลุง!I384"")"),0)</f>
        <v>0</v>
      </c>
      <c r="J489" s="195">
        <f ca="1">IFERROR(__xludf.DUMMYFUNCTION("IMPORTRANGE(""https://docs.google.com/spreadsheets/d/1IYY_tgx_IHuhSq3AJ5eI5OnqOPBNLWSHKh2a30DoXe8/edit?usp=sharing"",""พัทลุง!J384"")"),434)</f>
        <v>434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2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IFERROR(__xludf.DUMMYFUNCTION("IMPORTRANGE(""https://docs.google.com/spreadsheets/d/1IYY_tgx_IHuhSq3AJ5eI5OnqOPBNLWSHKh2a30DoXe8/edit?usp=sharing"",""พัทลุง!I385"")"),0)</f>
        <v>0</v>
      </c>
      <c r="J490" s="195">
        <f ca="1">IFERROR(__xludf.DUMMYFUNCTION("IMPORTRANGE(""https://docs.google.com/spreadsheets/d/1IYY_tgx_IHuhSq3AJ5eI5OnqOPBNLWSHKh2a30DoXe8/edit?usp=sharing"",""พัทลุง!J385"")"),68)</f>
        <v>68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2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IFERROR(__xludf.DUMMYFUNCTION("IMPORTRANGE(""https://docs.google.com/spreadsheets/d/1IYY_tgx_IHuhSq3AJ5eI5OnqOPBNLWSHKh2a30DoXe8/edit?usp=sharing"",""พัทลุง!I386"")"),0)</f>
        <v>0</v>
      </c>
      <c r="J491" s="195">
        <f ca="1">IFERROR(__xludf.DUMMYFUNCTION("IMPORTRANGE(""https://docs.google.com/spreadsheets/d/1IYY_tgx_IHuhSq3AJ5eI5OnqOPBNLWSHKh2a30DoXe8/edit?usp=sharing"",""พัทลุง!J386"")"),0)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2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IFERROR(__xludf.DUMMYFUNCTION("IMPORTRANGE(""https://docs.google.com/spreadsheets/d/1IYY_tgx_IHuhSq3AJ5eI5OnqOPBNLWSHKh2a30DoXe8/edit?usp=sharing"",""พัทลุง!I387"")"),0)</f>
        <v>0</v>
      </c>
      <c r="J492" s="195">
        <f ca="1">IFERROR(__xludf.DUMMYFUNCTION("IMPORTRANGE(""https://docs.google.com/spreadsheets/d/1IYY_tgx_IHuhSq3AJ5eI5OnqOPBNLWSHKh2a30DoXe8/edit?usp=sharing"",""พัทลุง!J387"")"),0)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2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IFERROR(__xludf.DUMMYFUNCTION("IMPORTRANGE(""https://docs.google.com/spreadsheets/d/1IYY_tgx_IHuhSq3AJ5eI5OnqOPBNLWSHKh2a30DoXe8/edit?usp=sharing"",""พัทลุง!I388"")"),0)</f>
        <v>0</v>
      </c>
      <c r="J493" s="195">
        <f ca="1">IFERROR(__xludf.DUMMYFUNCTION("IMPORTRANGE(""https://docs.google.com/spreadsheets/d/1IYY_tgx_IHuhSq3AJ5eI5OnqOPBNLWSHKh2a30DoXe8/edit?usp=sharing"",""พัทลุง!J388"")"),0)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2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2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2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2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IFERROR(__xludf.DUMMYFUNCTION("IMPORTRANGE(""https://docs.google.com/spreadsheets/d/1IYY_tgx_IHuhSq3AJ5eI5OnqOPBNLWSHKh2a30DoXe8/edit?usp=sharing"",""พัทลุง!J392"")"),164)</f>
        <v>164</v>
      </c>
      <c r="K497" s="450">
        <f t="shared" ca="1" si="116"/>
        <v>88.648648648648646</v>
      </c>
      <c r="L497" s="451"/>
      <c r="M497" s="451"/>
      <c r="N497" s="451"/>
      <c r="O497" s="451"/>
      <c r="P497" s="451"/>
    </row>
    <row r="498" spans="1:16" ht="21.75" customHeight="1" x14ac:dyDescent="0.2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IFERROR(__xludf.DUMMYFUNCTION("IMPORTRANGE(""https://docs.google.com/spreadsheets/d/1IYY_tgx_IHuhSq3AJ5eI5OnqOPBNLWSHKh2a30DoXe8/edit?usp=sharing"",""พัทลุง!J393"")"),164)</f>
        <v>164</v>
      </c>
      <c r="K498" s="167">
        <f t="shared" ca="1" si="116"/>
        <v>88.648648648648646</v>
      </c>
      <c r="L498" s="188"/>
      <c r="M498" s="188"/>
      <c r="N498" s="188"/>
      <c r="O498" s="188"/>
      <c r="P498" s="188"/>
    </row>
    <row r="499" spans="1:16" ht="21.75" customHeight="1" x14ac:dyDescent="0.2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IFERROR(__xludf.DUMMYFUNCTION("IMPORTRANGE(""https://docs.google.com/spreadsheets/d/1IYY_tgx_IHuhSq3AJ5eI5OnqOPBNLWSHKh2a30DoXe8/edit?usp=sharing"",""พัทลุง!J394"")"),42)</f>
        <v>42</v>
      </c>
      <c r="K499" s="208">
        <f t="shared" ca="1" si="116"/>
        <v>87.5</v>
      </c>
      <c r="L499" s="188"/>
      <c r="M499" s="188"/>
      <c r="N499" s="188"/>
      <c r="O499" s="188"/>
      <c r="P499" s="188"/>
    </row>
    <row r="500" spans="1:16" ht="21.75" customHeight="1" x14ac:dyDescent="0.2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IFERROR(__xludf.DUMMYFUNCTION("IMPORTRANGE(""https://docs.google.com/spreadsheets/d/1IYY_tgx_IHuhSq3AJ5eI5OnqOPBNLWSHKh2a30DoXe8/edit?usp=sharing"",""พัทลุง!I395"")"),0)</f>
        <v>0</v>
      </c>
      <c r="J500" s="166">
        <f ca="1">IFERROR(__xludf.DUMMYFUNCTION("IMPORTRANGE(""https://docs.google.com/spreadsheets/d/1IYY_tgx_IHuhSq3AJ5eI5OnqOPBNLWSHKh2a30DoXe8/edit?usp=sharing"",""พัทลุง!J395"")"),164)</f>
        <v>164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2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IFERROR(__xludf.DUMMYFUNCTION("IMPORTRANGE(""https://docs.google.com/spreadsheets/d/1IYY_tgx_IHuhSq3AJ5eI5OnqOPBNLWSHKh2a30DoXe8/edit?usp=sharing"",""พัทลุง!I396"")"),0)</f>
        <v>0</v>
      </c>
      <c r="J501" s="166">
        <f ca="1">IFERROR(__xludf.DUMMYFUNCTION("IMPORTRANGE(""https://docs.google.com/spreadsheets/d/1IYY_tgx_IHuhSq3AJ5eI5OnqOPBNLWSHKh2a30DoXe8/edit?usp=sharing"",""พัทลุง!J396"")"),42)</f>
        <v>42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2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IFERROR(__xludf.DUMMYFUNCTION("IMPORTRANGE(""https://docs.google.com/spreadsheets/d/1IYY_tgx_IHuhSq3AJ5eI5OnqOPBNLWSHKh2a30DoXe8/edit?usp=sharing"",""พัทลุง!I397"")"),0)</f>
        <v>0</v>
      </c>
      <c r="J502" s="195">
        <f ca="1">IFERROR(__xludf.DUMMYFUNCTION("IMPORTRANGE(""https://docs.google.com/spreadsheets/d/1IYY_tgx_IHuhSq3AJ5eI5OnqOPBNLWSHKh2a30DoXe8/edit?usp=sharing"",""พัทลุง!J397"")"),164)</f>
        <v>164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2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IFERROR(__xludf.DUMMYFUNCTION("IMPORTRANGE(""https://docs.google.com/spreadsheets/d/1IYY_tgx_IHuhSq3AJ5eI5OnqOPBNLWSHKh2a30DoXe8/edit?usp=sharing"",""พัทลุง!I398"")"),0)</f>
        <v>0</v>
      </c>
      <c r="J503" s="204">
        <f ca="1">IFERROR(__xludf.DUMMYFUNCTION("IMPORTRANGE(""https://docs.google.com/spreadsheets/d/1IYY_tgx_IHuhSq3AJ5eI5OnqOPBNLWSHKh2a30DoXe8/edit?usp=sharing"",""พัทลุง!J398"")"),42)</f>
        <v>42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2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IFERROR(__xludf.DUMMYFUNCTION("IMPORTRANGE(""https://docs.google.com/spreadsheets/d/1IYY_tgx_IHuhSq3AJ5eI5OnqOPBNLWSHKh2a30DoXe8/edit?usp=sharing"",""พัทลุง!I399"")"),0)</f>
        <v>0</v>
      </c>
      <c r="J504" s="195">
        <f ca="1">IFERROR(__xludf.DUMMYFUNCTION("IMPORTRANGE(""https://docs.google.com/spreadsheets/d/1IYY_tgx_IHuhSq3AJ5eI5OnqOPBNLWSHKh2a30DoXe8/edit?usp=sharing"",""พัทลุง!J399"")"),0)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2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IFERROR(__xludf.DUMMYFUNCTION("IMPORTRANGE(""https://docs.google.com/spreadsheets/d/1IYY_tgx_IHuhSq3AJ5eI5OnqOPBNLWSHKh2a30DoXe8/edit?usp=sharing"",""พัทลุง!I400"")"),0)</f>
        <v>0</v>
      </c>
      <c r="J505" s="204">
        <f ca="1">IFERROR(__xludf.DUMMYFUNCTION("IMPORTRANGE(""https://docs.google.com/spreadsheets/d/1IYY_tgx_IHuhSq3AJ5eI5OnqOPBNLWSHKh2a30DoXe8/edit?usp=sharing"",""พัทลุง!J400"")"),0)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2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IFERROR(__xludf.DUMMYFUNCTION("IMPORTRANGE(""https://docs.google.com/spreadsheets/d/1IYY_tgx_IHuhSq3AJ5eI5OnqOPBNLWSHKh2a30DoXe8/edit?usp=sharing"",""พัทลุง!I401"")"),0)</f>
        <v>0</v>
      </c>
      <c r="J506" s="195">
        <f ca="1">IFERROR(__xludf.DUMMYFUNCTION("IMPORTRANGE(""https://docs.google.com/spreadsheets/d/1IYY_tgx_IHuhSq3AJ5eI5OnqOPBNLWSHKh2a30DoXe8/edit?usp=sharing"",""พัทลุง!J401"")"),0)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2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IFERROR(__xludf.DUMMYFUNCTION("IMPORTRANGE(""https://docs.google.com/spreadsheets/d/1IYY_tgx_IHuhSq3AJ5eI5OnqOPBNLWSHKh2a30DoXe8/edit?usp=sharing"",""พัทลุง!I402"")"),0)</f>
        <v>0</v>
      </c>
      <c r="J507" s="204">
        <f ca="1">IFERROR(__xludf.DUMMYFUNCTION("IMPORTRANGE(""https://docs.google.com/spreadsheets/d/1IYY_tgx_IHuhSq3AJ5eI5OnqOPBNLWSHKh2a30DoXe8/edit?usp=sharing"",""พัทลุง!J402"")"),0)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2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IFERROR(__xludf.DUMMYFUNCTION("IMPORTRANGE(""https://docs.google.com/spreadsheets/d/1IYY_tgx_IHuhSq3AJ5eI5OnqOPBNLWSHKh2a30DoXe8/edit?usp=sharing"",""พัทลุง!I403"")"),0)</f>
        <v>0</v>
      </c>
      <c r="J508" s="166">
        <f ca="1">IFERROR(__xludf.DUMMYFUNCTION("IMPORTRANGE(""https://docs.google.com/spreadsheets/d/1IYY_tgx_IHuhSq3AJ5eI5OnqOPBNLWSHKh2a30DoXe8/edit?usp=sharing"",""พัทลุง!J403"")"),0)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2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IFERROR(__xludf.DUMMYFUNCTION("IMPORTRANGE(""https://docs.google.com/spreadsheets/d/1IYY_tgx_IHuhSq3AJ5eI5OnqOPBNLWSHKh2a30DoXe8/edit?usp=sharing"",""พัทลุง!I404"")"),0)</f>
        <v>0</v>
      </c>
      <c r="J509" s="166">
        <f ca="1">IFERROR(__xludf.DUMMYFUNCTION("IMPORTRANGE(""https://docs.google.com/spreadsheets/d/1IYY_tgx_IHuhSq3AJ5eI5OnqOPBNLWSHKh2a30DoXe8/edit?usp=sharing"",""พัทลุง!J404"")"),0)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2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IFERROR(__xludf.DUMMYFUNCTION("IMPORTRANGE(""https://docs.google.com/spreadsheets/d/1IYY_tgx_IHuhSq3AJ5eI5OnqOPBNLWSHKh2a30DoXe8/edit?usp=sharing"",""พัทลุง!I405"")"),0)</f>
        <v>0</v>
      </c>
      <c r="J510" s="204">
        <f ca="1">IFERROR(__xludf.DUMMYFUNCTION("IMPORTRANGE(""https://docs.google.com/spreadsheets/d/1IYY_tgx_IHuhSq3AJ5eI5OnqOPBNLWSHKh2a30DoXe8/edit?usp=sharing"",""พัทลุง!J405"")"),0)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2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IFERROR(__xludf.DUMMYFUNCTION("IMPORTRANGE(""https://docs.google.com/spreadsheets/d/1IYY_tgx_IHuhSq3AJ5eI5OnqOPBNLWSHKh2a30DoXe8/edit?usp=sharing"",""พัทลุง!I406"")"),0)</f>
        <v>0</v>
      </c>
      <c r="J511" s="204">
        <f ca="1">IFERROR(__xludf.DUMMYFUNCTION("IMPORTRANGE(""https://docs.google.com/spreadsheets/d/1IYY_tgx_IHuhSq3AJ5eI5OnqOPBNLWSHKh2a30DoXe8/edit?usp=sharing"",""พัทลุง!J406"")"),0)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2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IFERROR(__xludf.DUMMYFUNCTION("IMPORTRANGE(""https://docs.google.com/spreadsheets/d/1IYY_tgx_IHuhSq3AJ5eI5OnqOPBNLWSHKh2a30DoXe8/edit?usp=sharing"",""พัทลุง!I407"")"),0)</f>
        <v>0</v>
      </c>
      <c r="J512" s="204">
        <f ca="1">IFERROR(__xludf.DUMMYFUNCTION("IMPORTRANGE(""https://docs.google.com/spreadsheets/d/1IYY_tgx_IHuhSq3AJ5eI5OnqOPBNLWSHKh2a30DoXe8/edit?usp=sharing"",""พัทลุง!J407"")"),0)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2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IFERROR(__xludf.DUMMYFUNCTION("IMPORTRANGE(""https://docs.google.com/spreadsheets/d/1IYY_tgx_IHuhSq3AJ5eI5OnqOPBNLWSHKh2a30DoXe8/edit?usp=sharing"",""พัทลุง!I408"")"),0)</f>
        <v>0</v>
      </c>
      <c r="J513" s="204">
        <f ca="1">IFERROR(__xludf.DUMMYFUNCTION("IMPORTRANGE(""https://docs.google.com/spreadsheets/d/1IYY_tgx_IHuhSq3AJ5eI5OnqOPBNLWSHKh2a30DoXe8/edit?usp=sharing"",""พัทลุง!J408"")"),0)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2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IFERROR(__xludf.DUMMYFUNCTION("IMPORTRANGE(""https://docs.google.com/spreadsheets/d/1IYY_tgx_IHuhSq3AJ5eI5OnqOPBNLWSHKh2a30DoXe8/edit?usp=sharing"",""พัทลุง!I409"")"),0)</f>
        <v>0</v>
      </c>
      <c r="J514" s="204">
        <f ca="1">IFERROR(__xludf.DUMMYFUNCTION("IMPORTRANGE(""https://docs.google.com/spreadsheets/d/1IYY_tgx_IHuhSq3AJ5eI5OnqOPBNLWSHKh2a30DoXe8/edit?usp=sharing"",""พัทลุง!J409"")"),0)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2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IFERROR(__xludf.DUMMYFUNCTION("IMPORTRANGE(""https://docs.google.com/spreadsheets/d/1IYY_tgx_IHuhSq3AJ5eI5OnqOPBNLWSHKh2a30DoXe8/edit?usp=sharing"",""พัทลุง!I410"")"),0)</f>
        <v>0</v>
      </c>
      <c r="J515" s="204">
        <f ca="1">IFERROR(__xludf.DUMMYFUNCTION("IMPORTRANGE(""https://docs.google.com/spreadsheets/d/1IYY_tgx_IHuhSq3AJ5eI5OnqOPBNLWSHKh2a30DoXe8/edit?usp=sharing"",""พัทลุง!J410"")"),0)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2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IFERROR(__xludf.DUMMYFUNCTION("IMPORTRANGE(""https://docs.google.com/spreadsheets/d/1IYY_tgx_IHuhSq3AJ5eI5OnqOPBNLWSHKh2a30DoXe8/edit?usp=sharing"",""พัทลุง!I411"")"),0)</f>
        <v>0</v>
      </c>
      <c r="J516" s="273">
        <f ca="1">IFERROR(__xludf.DUMMYFUNCTION("IMPORTRANGE(""https://docs.google.com/spreadsheets/d/1IYY_tgx_IHuhSq3AJ5eI5OnqOPBNLWSHKh2a30DoXe8/edit?usp=sharing"",""พัทลุง!J411"")"),0)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2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2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2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IFERROR(__xludf.DUMMYFUNCTION("IMPORTRANGE(""https://docs.google.com/spreadsheets/d/1IYY_tgx_IHuhSq3AJ5eI5OnqOPBNLWSHKh2a30DoXe8/edit?usp=sharing"",""พัทลุง!I414"")"),0)</f>
        <v>0</v>
      </c>
      <c r="J519" s="194">
        <f ca="1">IFERROR(__xludf.DUMMYFUNCTION("IMPORTRANGE(""https://docs.google.com/spreadsheets/d/1IYY_tgx_IHuhSq3AJ5eI5OnqOPBNLWSHKh2a30DoXe8/edit?usp=sharing"",""พัทลุง!J414"")"),0)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2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IFERROR(__xludf.DUMMYFUNCTION("IMPORTRANGE(""https://docs.google.com/spreadsheets/d/1IYY_tgx_IHuhSq3AJ5eI5OnqOPBNLWSHKh2a30DoXe8/edit?usp=sharing"",""พัทลุง!I415"")"),0)</f>
        <v>0</v>
      </c>
      <c r="J520" s="194">
        <f ca="1">IFERROR(__xludf.DUMMYFUNCTION("IMPORTRANGE(""https://docs.google.com/spreadsheets/d/1IYY_tgx_IHuhSq3AJ5eI5OnqOPBNLWSHKh2a30DoXe8/edit?usp=sharing"",""พัทลุง!J415"")"),0)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2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IFERROR(__xludf.DUMMYFUNCTION("IMPORTRANGE(""https://docs.google.com/spreadsheets/d/1IYY_tgx_IHuhSq3AJ5eI5OnqOPBNLWSHKh2a30DoXe8/edit?usp=sharing"",""พัทลุง!I416"")"),0)</f>
        <v>0</v>
      </c>
      <c r="J521" s="194">
        <f ca="1">IFERROR(__xludf.DUMMYFUNCTION("IMPORTRANGE(""https://docs.google.com/spreadsheets/d/1IYY_tgx_IHuhSq3AJ5eI5OnqOPBNLWSHKh2a30DoXe8/edit?usp=sharing"",""พัทลุง!J416"")"),0)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2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IFERROR(__xludf.DUMMYFUNCTION("IMPORTRANGE(""https://docs.google.com/spreadsheets/d/1IYY_tgx_IHuhSq3AJ5eI5OnqOPBNLWSHKh2a30DoXe8/edit?usp=sharing"",""พัทลุง!I417"")"),0)</f>
        <v>0</v>
      </c>
      <c r="J522" s="194">
        <f ca="1">IFERROR(__xludf.DUMMYFUNCTION("IMPORTRANGE(""https://docs.google.com/spreadsheets/d/1IYY_tgx_IHuhSq3AJ5eI5OnqOPBNLWSHKh2a30DoXe8/edit?usp=sharing"",""พัทลุง!J417"")"),0)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2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IFERROR(__xludf.DUMMYFUNCTION("IMPORTRANGE(""https://docs.google.com/spreadsheets/d/1IYY_tgx_IHuhSq3AJ5eI5OnqOPBNLWSHKh2a30DoXe8/edit?usp=sharing"",""พัทลุง!I418"")"),0)</f>
        <v>0</v>
      </c>
      <c r="J523" s="194">
        <f ca="1">IFERROR(__xludf.DUMMYFUNCTION("IMPORTRANGE(""https://docs.google.com/spreadsheets/d/1IYY_tgx_IHuhSq3AJ5eI5OnqOPBNLWSHKh2a30DoXe8/edit?usp=sharing"",""พัทลุง!J418"")"),29)</f>
        <v>29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2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IFERROR(__xludf.DUMMYFUNCTION("IMPORTRANGE(""https://docs.google.com/spreadsheets/d/1IYY_tgx_IHuhSq3AJ5eI5OnqOPBNLWSHKh2a30DoXe8/edit?usp=sharing"",""พัทลุง!I419"")"),0)</f>
        <v>0</v>
      </c>
      <c r="J524" s="194">
        <f ca="1">IFERROR(__xludf.DUMMYFUNCTION("IMPORTRANGE(""https://docs.google.com/spreadsheets/d/1IYY_tgx_IHuhSq3AJ5eI5OnqOPBNLWSHKh2a30DoXe8/edit?usp=sharing"",""พัทลุง!J419"")"),10)</f>
        <v>10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2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2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2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IFERROR(__xludf.DUMMYFUNCTION("IMPORTRANGE(""https://docs.google.com/spreadsheets/d/1IYY_tgx_IHuhSq3AJ5eI5OnqOPBNLWSHKh2a30DoXe8/edit?usp=sharing"",""พัทลุง!I422"")"),0)</f>
        <v>0</v>
      </c>
      <c r="J527" s="204">
        <f ca="1">IFERROR(__xludf.DUMMYFUNCTION("IMPORTRANGE(""https://docs.google.com/spreadsheets/d/1IYY_tgx_IHuhSq3AJ5eI5OnqOPBNLWSHKh2a30DoXe8/edit?usp=sharing"",""พัทลุง!J422"")"),0)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2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IFERROR(__xludf.DUMMYFUNCTION("IMPORTRANGE(""https://docs.google.com/spreadsheets/d/1IYY_tgx_IHuhSq3AJ5eI5OnqOPBNLWSHKh2a30DoXe8/edit?usp=sharing"",""พัทลุง!I423"")"),0)</f>
        <v>0</v>
      </c>
      <c r="J528" s="204">
        <f ca="1">IFERROR(__xludf.DUMMYFUNCTION("IMPORTRANGE(""https://docs.google.com/spreadsheets/d/1IYY_tgx_IHuhSq3AJ5eI5OnqOPBNLWSHKh2a30DoXe8/edit?usp=sharing"",""พัทลุง!J423"")"),0)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2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IFERROR(__xludf.DUMMYFUNCTION("IMPORTRANGE(""https://docs.google.com/spreadsheets/d/1IYY_tgx_IHuhSq3AJ5eI5OnqOPBNLWSHKh2a30DoXe8/edit?usp=sharing"",""พัทลุง!I424"")"),0)</f>
        <v>0</v>
      </c>
      <c r="J529" s="204">
        <f ca="1">IFERROR(__xludf.DUMMYFUNCTION("IMPORTRANGE(""https://docs.google.com/spreadsheets/d/1IYY_tgx_IHuhSq3AJ5eI5OnqOPBNLWSHKh2a30DoXe8/edit?usp=sharing"",""พัทลุง!J424"")"),0)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2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IFERROR(__xludf.DUMMYFUNCTION("IMPORTRANGE(""https://docs.google.com/spreadsheets/d/1IYY_tgx_IHuhSq3AJ5eI5OnqOPBNLWSHKh2a30DoXe8/edit?usp=sharing"",""พัทลุง!I425"")"),0)</f>
        <v>0</v>
      </c>
      <c r="J530" s="204">
        <f ca="1">IFERROR(__xludf.DUMMYFUNCTION("IMPORTRANGE(""https://docs.google.com/spreadsheets/d/1IYY_tgx_IHuhSq3AJ5eI5OnqOPBNLWSHKh2a30DoXe8/edit?usp=sharing"",""พัทลุง!J425"")"),0)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2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IFERROR(__xludf.DUMMYFUNCTION("IMPORTRANGE(""https://docs.google.com/spreadsheets/d/1IYY_tgx_IHuhSq3AJ5eI5OnqOPBNLWSHKh2a30DoXe8/edit?usp=sharing"",""พัทลุง!I426"")"),0)</f>
        <v>0</v>
      </c>
      <c r="J531" s="204">
        <f ca="1">IFERROR(__xludf.DUMMYFUNCTION("IMPORTRANGE(""https://docs.google.com/spreadsheets/d/1IYY_tgx_IHuhSq3AJ5eI5OnqOPBNLWSHKh2a30DoXe8/edit?usp=sharing"",""พัทลุง!J426"")"),0)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2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2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IFERROR(__xludf.DUMMYFUNCTION("IMPORTRANGE(""https://docs.google.com/spreadsheets/d/1IYY_tgx_IHuhSq3AJ5eI5OnqOPBNLWSHKh2a30DoXe8/edit?usp=sharing"",""พัทลุง!M428"")"),22310)</f>
        <v>22310</v>
      </c>
      <c r="O533" s="418">
        <f t="shared" ref="O533:O537" ca="1" si="117">+IF(L533&gt;0,N533*100/L533,0)</f>
        <v>68.351715686274517</v>
      </c>
      <c r="P533" s="418"/>
    </row>
    <row r="534" spans="1:16" ht="21.75" customHeight="1" x14ac:dyDescent="0.2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IFERROR(__xludf.DUMMYFUNCTION("IMPORTRANGE(""https://docs.google.com/spreadsheets/d/1IYY_tgx_IHuhSq3AJ5eI5OnqOPBNLWSHKh2a30DoXe8/edit?usp=sharing"",""พัทลุง!L429"")"),0)</f>
        <v>0</v>
      </c>
      <c r="M534" s="168"/>
      <c r="N534" s="175">
        <f ca="1">IFERROR(__xludf.DUMMYFUNCTION("IMPORTRANGE(""https://docs.google.com/spreadsheets/d/1IYY_tgx_IHuhSq3AJ5eI5OnqOPBNLWSHKh2a30DoXe8/edit?usp=sharing"",""พัทลุง!M429"")"),0)</f>
        <v>0</v>
      </c>
      <c r="O534" s="175">
        <f t="shared" ca="1" si="117"/>
        <v>0</v>
      </c>
      <c r="P534" s="175"/>
    </row>
    <row r="535" spans="1:16" ht="21.75" customHeight="1" x14ac:dyDescent="0.2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IFERROR(__xludf.DUMMYFUNCTION("IMPORTRANGE(""https://docs.google.com/spreadsheets/d/1IYY_tgx_IHuhSq3AJ5eI5OnqOPBNLWSHKh2a30DoXe8/edit?usp=sharing"",""พัทลุง!L430"")"),32640)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IFERROR(__xludf.DUMMYFUNCTION("IMPORTRANGE(""https://docs.google.com/spreadsheets/d/1IYY_tgx_IHuhSq3AJ5eI5OnqOPBNLWSHKh2a30DoXe8/edit?usp=sharing"",""พัทลุง!M430"")"),22310)</f>
        <v>22310</v>
      </c>
      <c r="O535" s="175">
        <f t="shared" ca="1" si="117"/>
        <v>68.351715686274517</v>
      </c>
      <c r="P535" s="175"/>
    </row>
    <row r="536" spans="1:16" ht="21.75" customHeight="1" x14ac:dyDescent="0.2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IFERROR(__xludf.DUMMYFUNCTION("IMPORTRANGE(""https://docs.google.com/spreadsheets/d/1IYY_tgx_IHuhSq3AJ5eI5OnqOPBNLWSHKh2a30DoXe8/edit?usp=sharing"",""พัทลุง!L431"")"),0)</f>
        <v>0</v>
      </c>
      <c r="M536" s="175"/>
      <c r="N536" s="175">
        <f ca="1">IFERROR(__xludf.DUMMYFUNCTION("IMPORTRANGE(""https://docs.google.com/spreadsheets/d/1IYY_tgx_IHuhSq3AJ5eI5OnqOPBNLWSHKh2a30DoXe8/edit?usp=sharing"",""พัทลุง!M431"")"),0)</f>
        <v>0</v>
      </c>
      <c r="O536" s="175">
        <f t="shared" ca="1" si="117"/>
        <v>0</v>
      </c>
      <c r="P536" s="175"/>
    </row>
    <row r="537" spans="1:16" ht="21.75" customHeight="1" x14ac:dyDescent="0.2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IFERROR(__xludf.DUMMYFUNCTION("IMPORTRANGE(""https://docs.google.com/spreadsheets/d/1IYY_tgx_IHuhSq3AJ5eI5OnqOPBNLWSHKh2a30DoXe8/edit?usp=sharing"",""พัทลุง!L432"")"),32640)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IFERROR(__xludf.DUMMYFUNCTION("IMPORTRANGE(""https://docs.google.com/spreadsheets/d/1IYY_tgx_IHuhSq3AJ5eI5OnqOPBNLWSHKh2a30DoXe8/edit?usp=sharing"",""พัทลุง!M432"")"),22310)</f>
        <v>22310</v>
      </c>
      <c r="O537" s="175">
        <f t="shared" ca="1" si="117"/>
        <v>68.351715686274517</v>
      </c>
      <c r="P537" s="175"/>
    </row>
    <row r="538" spans="1:16" ht="21.75" customHeight="1" x14ac:dyDescent="0.2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IFERROR(__xludf.DUMMYFUNCTION("IMPORTRANGE(""https://docs.google.com/spreadsheets/d/1IYY_tgx_IHuhSq3AJ5eI5OnqOPBNLWSHKh2a30DoXe8/edit?usp=sharing"",""พัทลุง!M433"")"),14560)</f>
        <v>14560</v>
      </c>
      <c r="O538" s="175"/>
      <c r="P538" s="175"/>
    </row>
    <row r="539" spans="1:16" ht="21.75" customHeight="1" x14ac:dyDescent="0.2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5"/>
      <c r="P539" s="175"/>
    </row>
    <row r="540" spans="1:16" ht="21.75" customHeight="1" x14ac:dyDescent="0.2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5"/>
      <c r="P540" s="175"/>
    </row>
    <row r="541" spans="1:16" ht="21.75" customHeight="1" x14ac:dyDescent="0.2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IFERROR(__xludf.DUMMYFUNCTION("IMPORTRANGE(""https://docs.google.com/spreadsheets/d/1IYY_tgx_IHuhSq3AJ5eI5OnqOPBNLWSHKh2a30DoXe8/edit?usp=sharing"",""พัทลุง!M436"")"),7750)</f>
        <v>7750</v>
      </c>
      <c r="O541" s="175"/>
      <c r="P541" s="175"/>
    </row>
    <row r="542" spans="1:16" ht="21.75" customHeight="1" x14ac:dyDescent="0.2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2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IFERROR(__xludf.DUMMYFUNCTION("IMPORTRANGE(""https://docs.google.com/spreadsheets/d/1IYY_tgx_IHuhSq3AJ5eI5OnqOPBNLWSHKh2a30DoXe8/edit?usp=sharing"",""พัทลุง!J438"")"),0)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2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IFERROR(__xludf.DUMMYFUNCTION("IMPORTRANGE(""https://docs.google.com/spreadsheets/d/1IYY_tgx_IHuhSq3AJ5eI5OnqOPBNLWSHKh2a30DoXe8/edit?usp=sharing"",""พัทลุง!J439"")"),1)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2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IFERROR(__xludf.DUMMYFUNCTION("IMPORTRANGE(""https://docs.google.com/spreadsheets/d/1IYY_tgx_IHuhSq3AJ5eI5OnqOPBNLWSHKh2a30DoXe8/edit?usp=sharing"",""พัทลุง!J440"")"),1)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2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IFERROR(__xludf.DUMMYFUNCTION("IMPORTRANGE(""https://docs.google.com/spreadsheets/d/1IYY_tgx_IHuhSq3AJ5eI5OnqOPBNLWSHKh2a30DoXe8/edit?usp=sharing"",""พัทลุง!J441"")"),1)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2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IFERROR(__xludf.DUMMYFUNCTION("IMPORTRANGE(""https://docs.google.com/spreadsheets/d/1IYY_tgx_IHuhSq3AJ5eI5OnqOPBNLWSHKh2a30DoXe8/edit?usp=sharing"",""พัทลุง!I442"")"),20)</f>
        <v>20</v>
      </c>
      <c r="J547" s="195">
        <f ca="1">IFERROR(__xludf.DUMMYFUNCTION("IMPORTRANGE(""https://docs.google.com/spreadsheets/d/1IYY_tgx_IHuhSq3AJ5eI5OnqOPBNLWSHKh2a30DoXe8/edit?usp=sharing"",""พัทลุง!J442"")"),20)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2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IFERROR(__xludf.DUMMYFUNCTION("IMPORTRANGE(""https://docs.google.com/spreadsheets/d/1IYY_tgx_IHuhSq3AJ5eI5OnqOPBNLWSHKh2a30DoXe8/edit?usp=sharing"",""พัทลุง!J166"")"),0)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2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IFERROR(__xludf.DUMMYFUNCTION("IMPORTRANGE(""https://docs.google.com/spreadsheets/d/1IYY_tgx_IHuhSq3AJ5eI5OnqOPBNLWSHKh2a30DoXe8/edit?usp=sharing"",""พัทลุง!J444"")"),0)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2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2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2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IFERROR(__xludf.DUMMYFUNCTION("IMPORTRANGE(""https://docs.google.com/spreadsheets/d/1IYY_tgx_IHuhSq3AJ5eI5OnqOPBNLWSHKh2a30DoXe8/edit?usp=sharing"",""พัทลุง!L447"")"),0)</f>
        <v>0</v>
      </c>
      <c r="M552" s="168"/>
      <c r="N552" s="175">
        <f ca="1">IFERROR(__xludf.DUMMYFUNCTION("IMPORTRANGE(""https://docs.google.com/spreadsheets/d/1IYY_tgx_IHuhSq3AJ5eI5OnqOPBNLWSHKh2a30DoXe8/edit?usp=sharing"",""พัทลุง!M447"")"),0)</f>
        <v>0</v>
      </c>
      <c r="O552" s="175">
        <f t="shared" ca="1" si="119"/>
        <v>0</v>
      </c>
      <c r="P552" s="175"/>
    </row>
    <row r="553" spans="1:16" ht="21.75" customHeight="1" x14ac:dyDescent="0.2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5">
        <f ca="1">IFERROR(__xludf.DUMMYFUNCTION("IMPORTRANGE(""https://docs.google.com/spreadsheets/d/1IYY_tgx_IHuhSq3AJ5eI5OnqOPBNLWSHKh2a30DoXe8/edit?usp=sharing"",""พัทลุง!M448"")"),0)</f>
        <v>0</v>
      </c>
      <c r="O553" s="175">
        <f t="shared" ca="1" si="119"/>
        <v>0</v>
      </c>
      <c r="P553" s="175"/>
    </row>
    <row r="554" spans="1:16" ht="21.75" customHeight="1" x14ac:dyDescent="0.2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IFERROR(__xludf.DUMMYFUNCTION("IMPORTRANGE(""https://docs.google.com/spreadsheets/d/1IYY_tgx_IHuhSq3AJ5eI5OnqOPBNLWSHKh2a30DoXe8/edit?usp=sharing"",""พัทลุง!L449"")"),0)</f>
        <v>0</v>
      </c>
      <c r="M554" s="175"/>
      <c r="N554" s="175">
        <f ca="1">IFERROR(__xludf.DUMMYFUNCTION("IMPORTRANGE(""https://docs.google.com/spreadsheets/d/1IYY_tgx_IHuhSq3AJ5eI5OnqOPBNLWSHKh2a30DoXe8/edit?usp=sharing"",""พัทลุง!M449"")"),0)</f>
        <v>0</v>
      </c>
      <c r="O554" s="175">
        <f t="shared" ca="1" si="119"/>
        <v>0</v>
      </c>
      <c r="P554" s="175"/>
    </row>
    <row r="555" spans="1:16" ht="21.75" customHeight="1" x14ac:dyDescent="0.2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IFERROR(__xludf.DUMMYFUNCTION("IMPORTRANGE(""https://docs.google.com/spreadsheets/d/1IYY_tgx_IHuhSq3AJ5eI5OnqOPBNLWSHKh2a30DoXe8/edit?usp=sharing"",""พัทลุง!L450"")"),0)</f>
        <v>0</v>
      </c>
      <c r="M555" s="175"/>
      <c r="N555" s="175">
        <f ca="1">IFERROR(__xludf.DUMMYFUNCTION("IMPORTRANGE(""https://docs.google.com/spreadsheets/d/1IYY_tgx_IHuhSq3AJ5eI5OnqOPBNLWSHKh2a30DoXe8/edit?usp=sharing"",""พัทลุง!M450"")"),0)</f>
        <v>0</v>
      </c>
      <c r="O555" s="175">
        <f t="shared" ca="1" si="119"/>
        <v>0</v>
      </c>
      <c r="P555" s="175"/>
    </row>
    <row r="556" spans="1:16" ht="21.75" customHeight="1" x14ac:dyDescent="0.2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IFERROR(__xludf.DUMMYFUNCTION("IMPORTRANGE(""https://docs.google.com/spreadsheets/d/1IYY_tgx_IHuhSq3AJ5eI5OnqOPBNLWSHKh2a30DoXe8/edit?usp=sharing"",""พัทลุง!M451"")"),0)</f>
        <v>0</v>
      </c>
      <c r="O556" s="175"/>
      <c r="P556" s="175"/>
    </row>
    <row r="557" spans="1:16" ht="21.75" customHeight="1" x14ac:dyDescent="0.2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IFERROR(__xludf.DUMMYFUNCTION("IMPORTRANGE(""https://docs.google.com/spreadsheets/d/1IYY_tgx_IHuhSq3AJ5eI5OnqOPBNLWSHKh2a30DoXe8/edit?usp=sharing"",""พัทลุง!M452"")"),0)</f>
        <v>0</v>
      </c>
      <c r="O557" s="175"/>
      <c r="P557" s="175"/>
    </row>
    <row r="558" spans="1:16" ht="21.75" customHeight="1" x14ac:dyDescent="0.2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IFERROR(__xludf.DUMMYFUNCTION("IMPORTRANGE(""https://docs.google.com/spreadsheets/d/1IYY_tgx_IHuhSq3AJ5eI5OnqOPBNLWSHKh2a30DoXe8/edit?usp=sharing"",""พัทลุง!M453"")"),0)</f>
        <v>0</v>
      </c>
      <c r="O558" s="175"/>
      <c r="P558" s="175"/>
    </row>
    <row r="559" spans="1:16" ht="21.75" customHeight="1" x14ac:dyDescent="0.2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IFERROR(__xludf.DUMMYFUNCTION("IMPORTRANGE(""https://docs.google.com/spreadsheets/d/1IYY_tgx_IHuhSq3AJ5eI5OnqOPBNLWSHKh2a30DoXe8/edit?usp=sharing"",""พัทลุง!M454"")"),0)</f>
        <v>0</v>
      </c>
      <c r="O559" s="175"/>
      <c r="P559" s="175"/>
    </row>
    <row r="560" spans="1:16" ht="21.75" customHeight="1" x14ac:dyDescent="0.2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IFERROR(__xludf.DUMMYFUNCTION("IMPORTRANGE(""https://docs.google.com/spreadsheets/d/1IYY_tgx_IHuhSq3AJ5eI5OnqOPBNLWSHKh2a30DoXe8/edit?usp=sharing"",""พัทลุง!I455"")"),0)</f>
        <v>0</v>
      </c>
      <c r="J560" s="166">
        <f ca="1">IFERROR(__xludf.DUMMYFUNCTION("IMPORTRANGE(""https://docs.google.com/spreadsheets/d/1IYY_tgx_IHuhSq3AJ5eI5OnqOPBNLWSHKh2a30DoXe8/edit?usp=sharing"",""พัทลุง!J455"")"),0)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2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IFERROR(__xludf.DUMMYFUNCTION("IMPORTRANGE(""https://docs.google.com/spreadsheets/d/1IYY_tgx_IHuhSq3AJ5eI5OnqOPBNLWSHKh2a30DoXe8/edit?usp=sharing"",""พัทลุง!I456"")"),0)</f>
        <v>0</v>
      </c>
      <c r="J561" s="210">
        <f ca="1">IFERROR(__xludf.DUMMYFUNCTION("IMPORTRANGE(""https://docs.google.com/spreadsheets/d/1IYY_tgx_IHuhSq3AJ5eI5OnqOPBNLWSHKh2a30DoXe8/edit?usp=sharing"",""พัทลุง!J456"")"),0)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2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2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2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IFERROR(__xludf.DUMMYFUNCTION("IMPORTRANGE(""https://docs.google.com/spreadsheets/d/1IYY_tgx_IHuhSq3AJ5eI5OnqOPBNLWSHKh2a30DoXe8/edit?usp=sharing"",""พัทลุง!J459"")"),2256)</f>
        <v>2256</v>
      </c>
      <c r="K564" s="378">
        <f ca="1">IF(I564&gt;0,J564*100/I564,0)</f>
        <v>196.17391304347825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IFERROR(__xludf.DUMMYFUNCTION("IMPORTRANGE(""https://docs.google.com/spreadsheets/d/1IYY_tgx_IHuhSq3AJ5eI5OnqOPBNLWSHKh2a30DoXe8/edit?usp=sharing"",""พัทลุง!M459"")"),100774.68)</f>
        <v>100774.68</v>
      </c>
      <c r="O564" s="379">
        <f t="shared" ref="O564:O568" ca="1" si="121">+IF(L564&gt;0,N564*100/L564,0)</f>
        <v>83.755551861702131</v>
      </c>
      <c r="P564" s="379"/>
    </row>
    <row r="565" spans="1:16" ht="21.75" customHeight="1" x14ac:dyDescent="0.2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IFERROR(__xludf.DUMMYFUNCTION("IMPORTRANGE(""https://docs.google.com/spreadsheets/d/1IYY_tgx_IHuhSq3AJ5eI5OnqOPBNLWSHKh2a30DoXe8/edit?usp=sharing"",""พัทลุง!L460"")"),0)</f>
        <v>0</v>
      </c>
      <c r="M565" s="168"/>
      <c r="N565" s="175">
        <f ca="1">IFERROR(__xludf.DUMMYFUNCTION("IMPORTRANGE(""https://docs.google.com/spreadsheets/d/1IYY_tgx_IHuhSq3AJ5eI5OnqOPBNLWSHKh2a30DoXe8/edit?usp=sharing"",""พัทลุง!M460"")"),0)</f>
        <v>0</v>
      </c>
      <c r="O565" s="175">
        <f t="shared" ca="1" si="121"/>
        <v>0</v>
      </c>
      <c r="P565" s="175"/>
    </row>
    <row r="566" spans="1:16" ht="21.75" customHeight="1" x14ac:dyDescent="0.2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5">
        <f ca="1">IFERROR(__xludf.DUMMYFUNCTION("IMPORTRANGE(""https://docs.google.com/spreadsheets/d/1IYY_tgx_IHuhSq3AJ5eI5OnqOPBNLWSHKh2a30DoXe8/edit?usp=sharing"",""พัทลุง!M461"")"),100774.68)</f>
        <v>100774.68</v>
      </c>
      <c r="O566" s="175">
        <f t="shared" ca="1" si="121"/>
        <v>83.755551861702131</v>
      </c>
      <c r="P566" s="175"/>
    </row>
    <row r="567" spans="1:16" ht="21.75" customHeight="1" x14ac:dyDescent="0.2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IFERROR(__xludf.DUMMYFUNCTION("IMPORTRANGE(""https://docs.google.com/spreadsheets/d/1IYY_tgx_IHuhSq3AJ5eI5OnqOPBNLWSHKh2a30DoXe8/edit?usp=sharing"",""พัทลุง!L462"")"),0)</f>
        <v>0</v>
      </c>
      <c r="M567" s="175"/>
      <c r="N567" s="175">
        <f ca="1">IFERROR(__xludf.DUMMYFUNCTION("IMPORTRANGE(""https://docs.google.com/spreadsheets/d/1IYY_tgx_IHuhSq3AJ5eI5OnqOPBNLWSHKh2a30DoXe8/edit?usp=sharing"",""พัทลุง!M462"")"),0)</f>
        <v>0</v>
      </c>
      <c r="O567" s="175">
        <f t="shared" ca="1" si="121"/>
        <v>0</v>
      </c>
      <c r="P567" s="175"/>
    </row>
    <row r="568" spans="1:16" ht="21.75" customHeight="1" x14ac:dyDescent="0.2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IFERROR(__xludf.DUMMYFUNCTION("IMPORTRANGE(""https://docs.google.com/spreadsheets/d/1IYY_tgx_IHuhSq3AJ5eI5OnqOPBNLWSHKh2a30DoXe8/edit?usp=sharing"",""พัทลุง!L463"")"),120320)</f>
        <v>120320</v>
      </c>
      <c r="M568" s="175"/>
      <c r="N568" s="175">
        <f ca="1">IFERROR(__xludf.DUMMYFUNCTION("IMPORTRANGE(""https://docs.google.com/spreadsheets/d/1IYY_tgx_IHuhSq3AJ5eI5OnqOPBNLWSHKh2a30DoXe8/edit?usp=sharing"",""พัทลุง!M463"")"),100774.68)</f>
        <v>100774.68</v>
      </c>
      <c r="O568" s="175">
        <f t="shared" ca="1" si="121"/>
        <v>83.755551861702131</v>
      </c>
      <c r="P568" s="175"/>
    </row>
    <row r="569" spans="1:16" ht="21.75" customHeight="1" x14ac:dyDescent="0.2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IFERROR(__xludf.DUMMYFUNCTION("IMPORTRANGE(""https://docs.google.com/spreadsheets/d/1IYY_tgx_IHuhSq3AJ5eI5OnqOPBNLWSHKh2a30DoXe8/edit?usp=sharing"",""พัทลุง!M464"")"),0)</f>
        <v>0</v>
      </c>
      <c r="O569" s="175"/>
      <c r="P569" s="175"/>
    </row>
    <row r="570" spans="1:16" ht="21.75" customHeight="1" x14ac:dyDescent="0.2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IFERROR(__xludf.DUMMYFUNCTION("IMPORTRANGE(""https://docs.google.com/spreadsheets/d/1IYY_tgx_IHuhSq3AJ5eI5OnqOPBNLWSHKh2a30DoXe8/edit?usp=sharing"",""พัทลุง!M465"")"),0)</f>
        <v>0</v>
      </c>
      <c r="O570" s="175"/>
      <c r="P570" s="175"/>
    </row>
    <row r="571" spans="1:16" ht="21.75" customHeight="1" x14ac:dyDescent="0.2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IFERROR(__xludf.DUMMYFUNCTION("IMPORTRANGE(""https://docs.google.com/spreadsheets/d/1IYY_tgx_IHuhSq3AJ5eI5OnqOPBNLWSHKh2a30DoXe8/edit?usp=sharing"",""พัทลุง!M466"")"),81234.68)</f>
        <v>81234.679999999993</v>
      </c>
      <c r="O571" s="175"/>
      <c r="P571" s="175"/>
    </row>
    <row r="572" spans="1:16" ht="21.75" customHeight="1" x14ac:dyDescent="0.2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IFERROR(__xludf.DUMMYFUNCTION("IMPORTRANGE(""https://docs.google.com/spreadsheets/d/1IYY_tgx_IHuhSq3AJ5eI5OnqOPBNLWSHKh2a30DoXe8/edit?usp=sharing"",""พัทลุง!M467"")"),19540)</f>
        <v>19540</v>
      </c>
      <c r="O572" s="175"/>
      <c r="P572" s="175"/>
    </row>
    <row r="573" spans="1:16" ht="21.75" customHeight="1" x14ac:dyDescent="0.25">
      <c r="A573" s="182"/>
      <c r="B573" s="183"/>
      <c r="C573" s="183"/>
      <c r="D573" s="202"/>
      <c r="E573" s="201" t="s">
        <v>39</v>
      </c>
      <c r="F573" s="482" t="s">
        <v>209</v>
      </c>
      <c r="G573" s="394"/>
      <c r="H573" s="483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IFERROR(__xludf.DUMMYFUNCTION("IMPORTRANGE(""https://docs.google.com/spreadsheets/d/1IYY_tgx_IHuhSq3AJ5eI5OnqOPBNLWSHKh2a30DoXe8/edit?usp=sharing"",""พัทลุง!J468"")"),2256)</f>
        <v>2256</v>
      </c>
      <c r="K573" s="208">
        <f ca="1">IF(I573&gt;0,J573*100/I573,0)</f>
        <v>196.17391304347825</v>
      </c>
      <c r="L573" s="188"/>
      <c r="M573" s="188"/>
      <c r="N573" s="188"/>
      <c r="O573" s="188"/>
      <c r="P573" s="188"/>
    </row>
    <row r="574" spans="1:16" ht="21.75" customHeight="1" x14ac:dyDescent="0.2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2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IFERROR(__xludf.DUMMYFUNCTION("IMPORTRANGE(""https://docs.google.com/spreadsheets/d/1IYY_tgx_IHuhSq3AJ5eI5OnqOPBNLWSHKh2a30DoXe8/edit?usp=sharing"",""พัทลุง!I470"")"),0)</f>
        <v>0</v>
      </c>
      <c r="J575" s="204">
        <f ca="1">IFERROR(__xludf.DUMMYFUNCTION("IMPORTRANGE(""https://docs.google.com/spreadsheets/d/1IYY_tgx_IHuhSq3AJ5eI5OnqOPBNLWSHKh2a30DoXe8/edit?usp=sharing"",""พัทลุง!J470"")"),4)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2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IFERROR(__xludf.DUMMYFUNCTION("IMPORTRANGE(""https://docs.google.com/spreadsheets/d/1IYY_tgx_IHuhSq3AJ5eI5OnqOPBNLWSHKh2a30DoXe8/edit?usp=sharing"",""พัทลุง!I471"")"),0)</f>
        <v>0</v>
      </c>
      <c r="J576" s="204">
        <f ca="1">IFERROR(__xludf.DUMMYFUNCTION("IMPORTRANGE(""https://docs.google.com/spreadsheets/d/1IYY_tgx_IHuhSq3AJ5eI5OnqOPBNLWSHKh2a30DoXe8/edit?usp=sharing"",""พัทลุง!J471"")"),49)</f>
        <v>49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2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IFERROR(__xludf.DUMMYFUNCTION("IMPORTRANGE(""https://docs.google.com/spreadsheets/d/1IYY_tgx_IHuhSq3AJ5eI5OnqOPBNLWSHKh2a30DoXe8/edit?usp=sharing"",""พัทลุง!I472"")"),0)</f>
        <v>0</v>
      </c>
      <c r="J577" s="195">
        <f ca="1">IFERROR(__xludf.DUMMYFUNCTION("IMPORTRANGE(""https://docs.google.com/spreadsheets/d/1IYY_tgx_IHuhSq3AJ5eI5OnqOPBNLWSHKh2a30DoXe8/edit?usp=sharing"",""พัทลุง!J472"")"),2207)</f>
        <v>2207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2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IFERROR(__xludf.DUMMYFUNCTION("IMPORTRANGE(""https://docs.google.com/spreadsheets/d/1IYY_tgx_IHuhSq3AJ5eI5OnqOPBNLWSHKh2a30DoXe8/edit?usp=sharing"",""พัทลุง!I473"")"),0)</f>
        <v>0</v>
      </c>
      <c r="J578" s="204">
        <f ca="1">IFERROR(__xludf.DUMMYFUNCTION("IMPORTRANGE(""https://docs.google.com/spreadsheets/d/1IYY_tgx_IHuhSq3AJ5eI5OnqOPBNLWSHKh2a30DoXe8/edit?usp=sharing"",""พัทลุง!J473"")"),0)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2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IFERROR(__xludf.DUMMYFUNCTION("IMPORTRANGE(""https://docs.google.com/spreadsheets/d/1IYY_tgx_IHuhSq3AJ5eI5OnqOPBNLWSHKh2a30DoXe8/edit?usp=sharing"",""พัทลุง!I474"")"),0)</f>
        <v>0</v>
      </c>
      <c r="J579" s="204">
        <f ca="1">IFERROR(__xludf.DUMMYFUNCTION("IMPORTRANGE(""https://docs.google.com/spreadsheets/d/1IYY_tgx_IHuhSq3AJ5eI5OnqOPBNLWSHKh2a30DoXe8/edit?usp=sharing"",""พัทลุง!J474"")"),0)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25">
      <c r="A580" s="372"/>
      <c r="B580" s="373">
        <v>9</v>
      </c>
      <c r="C580" s="484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IFERROR(__xludf.DUMMYFUNCTION("IMPORTRANGE(""https://docs.google.com/spreadsheets/d/1IYY_tgx_IHuhSq3AJ5eI5OnqOPBNLWSHKh2a30DoXe8/edit?usp=sharing"",""พัทลุง!I475"")"),47)</f>
        <v>47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2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IFERROR(__xludf.DUMMYFUNCTION("IMPORTRANGE(""https://docs.google.com/spreadsheets/d/1IYY_tgx_IHuhSq3AJ5eI5OnqOPBNLWSHKh2a30DoXe8/edit?usp=sharing"",""พัทลุง!L476"")"),0)</f>
        <v>0</v>
      </c>
      <c r="M581" s="168"/>
      <c r="N581" s="175">
        <f ca="1">IFERROR(__xludf.DUMMYFUNCTION("IMPORTRANGE(""https://docs.google.com/spreadsheets/d/1IYY_tgx_IHuhSq3AJ5eI5OnqOPBNLWSHKh2a30DoXe8/edit?usp=sharing"",""พัทลุง!M476"")"),0)</f>
        <v>0</v>
      </c>
      <c r="O581" s="175">
        <f t="shared" ca="1" si="123"/>
        <v>0</v>
      </c>
      <c r="P581" s="175"/>
    </row>
    <row r="582" spans="1:16" ht="21.75" customHeight="1" x14ac:dyDescent="0.2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5">
        <f ca="1">IFERROR(__xludf.DUMMYFUNCTION("IMPORTRANGE(""https://docs.google.com/spreadsheets/d/1IYY_tgx_IHuhSq3AJ5eI5OnqOPBNLWSHKh2a30DoXe8/edit?usp=sharing"",""พัทลุง!M477"")"),0)</f>
        <v>0</v>
      </c>
      <c r="O582" s="175">
        <f t="shared" ca="1" si="123"/>
        <v>0</v>
      </c>
      <c r="P582" s="175"/>
    </row>
    <row r="583" spans="1:16" ht="21.75" customHeight="1" x14ac:dyDescent="0.2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IFERROR(__xludf.DUMMYFUNCTION("IMPORTRANGE(""https://docs.google.com/spreadsheets/d/1IYY_tgx_IHuhSq3AJ5eI5OnqOPBNLWSHKh2a30DoXe8/edit?usp=sharing"",""พัทลุง!L478"")"),0)</f>
        <v>0</v>
      </c>
      <c r="M583" s="175"/>
      <c r="N583" s="175">
        <f ca="1">IFERROR(__xludf.DUMMYFUNCTION("IMPORTRANGE(""https://docs.google.com/spreadsheets/d/1IYY_tgx_IHuhSq3AJ5eI5OnqOPBNLWSHKh2a30DoXe8/edit?usp=sharing"",""พัทลุง!M478"")"),0)</f>
        <v>0</v>
      </c>
      <c r="O583" s="175">
        <f t="shared" ca="1" si="123"/>
        <v>0</v>
      </c>
      <c r="P583" s="175"/>
    </row>
    <row r="584" spans="1:16" ht="21.75" customHeight="1" x14ac:dyDescent="0.2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IFERROR(__xludf.DUMMYFUNCTION("IMPORTRANGE(""https://docs.google.com/spreadsheets/d/1IYY_tgx_IHuhSq3AJ5eI5OnqOPBNLWSHKh2a30DoXe8/edit?usp=sharing"",""พัทลุง!L479"")"),143795)</f>
        <v>143795</v>
      </c>
      <c r="M584" s="175"/>
      <c r="N584" s="175">
        <f ca="1">IFERROR(__xludf.DUMMYFUNCTION("IMPORTRANGE(""https://docs.google.com/spreadsheets/d/1IYY_tgx_IHuhSq3AJ5eI5OnqOPBNLWSHKh2a30DoXe8/edit?usp=sharing"",""พัทลุง!M479"")"),0)</f>
        <v>0</v>
      </c>
      <c r="O584" s="175">
        <f t="shared" ca="1" si="123"/>
        <v>0</v>
      </c>
      <c r="P584" s="175"/>
    </row>
    <row r="585" spans="1:16" ht="21.75" customHeight="1" x14ac:dyDescent="0.2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IFERROR(__xludf.DUMMYFUNCTION("IMPORTRANGE(""https://docs.google.com/spreadsheets/d/1IYY_tgx_IHuhSq3AJ5eI5OnqOPBNLWSHKh2a30DoXe8/edit?usp=sharing"",""พัทลุง!M480"")"),0)</f>
        <v>0</v>
      </c>
      <c r="O585" s="175"/>
      <c r="P585" s="175"/>
    </row>
    <row r="586" spans="1:16" ht="21.75" customHeight="1" x14ac:dyDescent="0.2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IFERROR(__xludf.DUMMYFUNCTION("IMPORTRANGE(""https://docs.google.com/spreadsheets/d/1IYY_tgx_IHuhSq3AJ5eI5OnqOPBNLWSHKh2a30DoXe8/edit?usp=sharing"",""พัทลุง!M481"")"),0)</f>
        <v>0</v>
      </c>
      <c r="O586" s="175"/>
      <c r="P586" s="175"/>
    </row>
    <row r="587" spans="1:16" ht="21.75" customHeight="1" x14ac:dyDescent="0.2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IFERROR(__xludf.DUMMYFUNCTION("IMPORTRANGE(""https://docs.google.com/spreadsheets/d/1IYY_tgx_IHuhSq3AJ5eI5OnqOPBNLWSHKh2a30DoXe8/edit?usp=sharing"",""พัทลุง!M482"")"),0)</f>
        <v>0</v>
      </c>
      <c r="O587" s="175"/>
      <c r="P587" s="175"/>
    </row>
    <row r="588" spans="1:16" ht="21.75" customHeight="1" x14ac:dyDescent="0.2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IFERROR(__xludf.DUMMYFUNCTION("IMPORTRANGE(""https://docs.google.com/spreadsheets/d/1IYY_tgx_IHuhSq3AJ5eI5OnqOPBNLWSHKh2a30DoXe8/edit?usp=sharing"",""พัทลุง!M483"")"),0)</f>
        <v>0</v>
      </c>
      <c r="O588" s="175"/>
      <c r="P588" s="175"/>
    </row>
    <row r="589" spans="1:16" ht="21.75" customHeight="1" x14ac:dyDescent="0.25">
      <c r="A589" s="485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IFERROR(__xludf.DUMMYFUNCTION("IMPORTRANGE(""https://docs.google.com/spreadsheets/d/1IYY_tgx_IHuhSq3AJ5eI5OnqOPBNLWSHKh2a30DoXe8/edit?usp=sharing"",""พัทลุง!I484"")"),47)</f>
        <v>47</v>
      </c>
      <c r="J589" s="194">
        <f ca="1">IFERROR(__xludf.DUMMYFUNCTION("IMPORTRANGE(""https://docs.google.com/spreadsheets/d/1IYY_tgx_IHuhSq3AJ5eI5OnqOPBNLWSHKh2a30DoXe8/edit?usp=sharing"",""พัทลุง!J484"")"),0)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25">
      <c r="A590" s="485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4">
        <f ca="1">IFERROR(__xludf.DUMMYFUNCTION("IMPORTRANGE(""https://docs.google.com/spreadsheets/d/1IYY_tgx_IHuhSq3AJ5eI5OnqOPBNLWSHKh2a30DoXe8/edit?usp=sharing"",""พัทลุง!J485"")"),0)</f>
        <v>0</v>
      </c>
      <c r="K590" s="486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25">
      <c r="A591" s="485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IFERROR(__xludf.DUMMYFUNCTION("IMPORTRANGE(""https://docs.google.com/spreadsheets/d/1IYY_tgx_IHuhSq3AJ5eI5OnqOPBNLWSHKh2a30DoXe8/edit?usp=sharing"",""พัทลุง!I486"")"),47)</f>
        <v>47</v>
      </c>
      <c r="J591" s="194">
        <f ca="1">IFERROR(__xludf.DUMMYFUNCTION("IMPORTRANGE(""https://docs.google.com/spreadsheets/d/1IYY_tgx_IHuhSq3AJ5eI5OnqOPBNLWSHKh2a30DoXe8/edit?usp=sharing"",""พัทลุง!J486"")"),1)</f>
        <v>1</v>
      </c>
      <c r="K591" s="167">
        <f t="shared" ca="1" si="124"/>
        <v>2.1276595744680851</v>
      </c>
      <c r="L591" s="188"/>
      <c r="M591" s="188"/>
      <c r="N591" s="188"/>
      <c r="O591" s="188"/>
      <c r="P591" s="188"/>
    </row>
    <row r="592" spans="1:16" ht="21.75" customHeight="1" x14ac:dyDescent="0.25">
      <c r="A592" s="485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4">
        <f ca="1">IFERROR(__xludf.DUMMYFUNCTION("IMPORTRANGE(""https://docs.google.com/spreadsheets/d/1IYY_tgx_IHuhSq3AJ5eI5OnqOPBNLWSHKh2a30DoXe8/edit?usp=sharing"",""พัทลุง!J487"")"),0.75)</f>
        <v>0.75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25">
      <c r="A593" s="485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IFERROR(__xludf.DUMMYFUNCTION("IMPORTRANGE(""https://docs.google.com/spreadsheets/d/1IYY_tgx_IHuhSq3AJ5eI5OnqOPBNLWSHKh2a30DoXe8/edit?usp=sharing"",""พัทลุง!I488"")"),47)</f>
        <v>47</v>
      </c>
      <c r="J593" s="194">
        <f ca="1">IFERROR(__xludf.DUMMYFUNCTION("IMPORTRANGE(""https://docs.google.com/spreadsheets/d/1IYY_tgx_IHuhSq3AJ5eI5OnqOPBNLWSHKh2a30DoXe8/edit?usp=sharing"",""พัทลุง!J488"")"),0)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25">
      <c r="A594" s="485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4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25">
      <c r="A595" s="485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IFERROR(__xludf.DUMMYFUNCTION("IMPORTRANGE(""https://docs.google.com/spreadsheets/d/1IYY_tgx_IHuhSq3AJ5eI5OnqOPBNLWSHKh2a30DoXe8/edit?usp=sharing"",""พัทลุง!I490"")"),47)</f>
        <v>47</v>
      </c>
      <c r="J595" s="194">
        <f ca="1">IFERROR(__xludf.DUMMYFUNCTION("IMPORTRANGE(""https://docs.google.com/spreadsheets/d/1IYY_tgx_IHuhSq3AJ5eI5OnqOPBNLWSHKh2a30DoXe8/edit?usp=sharing"",""พัทลุง!J490"")"),0)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25">
      <c r="A596" s="487"/>
      <c r="B596" s="488"/>
      <c r="C596" s="489"/>
      <c r="D596" s="490"/>
      <c r="E596" s="468"/>
      <c r="F596" s="468"/>
      <c r="G596" s="469"/>
      <c r="H596" s="491" t="s">
        <v>122</v>
      </c>
      <c r="I596" s="492">
        <f ca="1">IFERROR(__xludf.DUMMYFUNCTION("IMPORTRANGE(""https://docs.google.com/spreadsheets/d/1IYY_tgx_IHuhSq3AJ5eI5OnqOPBNLWSHKh2a30DoXe8/edit?usp=sharing"",""พัทลุง!I491"")"),0)</f>
        <v>0</v>
      </c>
      <c r="J596" s="247">
        <f ca="1">IFERROR(__xludf.DUMMYFUNCTION("IMPORTRANGE(""https://docs.google.com/spreadsheets/d/1IYY_tgx_IHuhSq3AJ5eI5OnqOPBNLWSHKh2a30DoXe8/edit?usp=sharing"",""พัทลุง!J491"")"),0)</f>
        <v>0</v>
      </c>
      <c r="K596" s="493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2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4">
        <f ca="1">IFERROR(__xludf.DUMMYFUNCTION("IMPORTRANGE(""https://docs.google.com/spreadsheets/d/1IYY_tgx_IHuhSq3AJ5eI5OnqOPBNLWSHKh2a30DoXe8/edit?usp=sharing"",""พัทลุง!J492"")"),0)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IFERROR(__xludf.DUMMYFUNCTION("IMPORTRANGE(""https://docs.google.com/spreadsheets/d/1IYY_tgx_IHuhSq3AJ5eI5OnqOPBNLWSHKh2a30DoXe8/edit?usp=sharing"",""พัทลุง!L492"")"),4550)</f>
        <v>4550</v>
      </c>
      <c r="M597" s="418"/>
      <c r="N597" s="418">
        <f ca="1">IFERROR(__xludf.DUMMYFUNCTION("IMPORTRANGE(""https://docs.google.com/spreadsheets/d/1IYY_tgx_IHuhSq3AJ5eI5OnqOPBNLWSHKh2a30DoXe8/edit?usp=sharing"",""พัทลุง!M492"")"),5945)</f>
        <v>5945</v>
      </c>
      <c r="O597" s="418">
        <f t="shared" ref="O597:O601" ca="1" si="125">+IF(L597&gt;0,N597*100/L597,0)</f>
        <v>130.65934065934067</v>
      </c>
      <c r="P597" s="418"/>
    </row>
    <row r="598" spans="1:16" ht="21.75" customHeight="1" x14ac:dyDescent="0.2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IFERROR(__xludf.DUMMYFUNCTION("IMPORTRANGE(""https://docs.google.com/spreadsheets/d/1IYY_tgx_IHuhSq3AJ5eI5OnqOPBNLWSHKh2a30DoXe8/edit?usp=sharing"",""พัทลุง!L493"")"),0)</f>
        <v>0</v>
      </c>
      <c r="M598" s="168"/>
      <c r="N598" s="175">
        <f ca="1">IFERROR(__xludf.DUMMYFUNCTION("IMPORTRANGE(""https://docs.google.com/spreadsheets/d/1IYY_tgx_IHuhSq3AJ5eI5OnqOPBNLWSHKh2a30DoXe8/edit?usp=sharing"",""พัทลุง!M493"")"),0)</f>
        <v>0</v>
      </c>
      <c r="O598" s="175">
        <f t="shared" ca="1" si="125"/>
        <v>0</v>
      </c>
      <c r="P598" s="175"/>
    </row>
    <row r="599" spans="1:16" ht="21.75" customHeight="1" x14ac:dyDescent="0.2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IFERROR(__xludf.DUMMYFUNCTION("IMPORTRANGE(""https://docs.google.com/spreadsheets/d/1IYY_tgx_IHuhSq3AJ5eI5OnqOPBNLWSHKh2a30DoXe8/edit?usp=sharing"",""พัทลุง!L494"")"),4550)</f>
        <v>4550</v>
      </c>
      <c r="M599" s="169"/>
      <c r="N599" s="175">
        <f ca="1">IFERROR(__xludf.DUMMYFUNCTION("IMPORTRANGE(""https://docs.google.com/spreadsheets/d/1IYY_tgx_IHuhSq3AJ5eI5OnqOPBNLWSHKh2a30DoXe8/edit?usp=sharing"",""พัทลุง!M494"")"),5945)</f>
        <v>5945</v>
      </c>
      <c r="O599" s="175">
        <f t="shared" ca="1" si="125"/>
        <v>130.65934065934067</v>
      </c>
      <c r="P599" s="175"/>
    </row>
    <row r="600" spans="1:16" ht="21.75" customHeight="1" x14ac:dyDescent="0.2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IFERROR(__xludf.DUMMYFUNCTION("IMPORTRANGE(""https://docs.google.com/spreadsheets/d/1IYY_tgx_IHuhSq3AJ5eI5OnqOPBNLWSHKh2a30DoXe8/edit?usp=sharing"",""พัทลุง!L495"")"),0)</f>
        <v>0</v>
      </c>
      <c r="M600" s="175"/>
      <c r="N600" s="175">
        <f ca="1">IFERROR(__xludf.DUMMYFUNCTION("IMPORTRANGE(""https://docs.google.com/spreadsheets/d/1IYY_tgx_IHuhSq3AJ5eI5OnqOPBNLWSHKh2a30DoXe8/edit?usp=sharing"",""พัทลุง!M495"")"),0)</f>
        <v>0</v>
      </c>
      <c r="O600" s="175">
        <f t="shared" ca="1" si="125"/>
        <v>0</v>
      </c>
      <c r="P600" s="175"/>
    </row>
    <row r="601" spans="1:16" ht="21.75" customHeight="1" x14ac:dyDescent="0.2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IFERROR(__xludf.DUMMYFUNCTION("IMPORTRANGE(""https://docs.google.com/spreadsheets/d/1IYY_tgx_IHuhSq3AJ5eI5OnqOPBNLWSHKh2a30DoXe8/edit?usp=sharing"",""พัทลุง!L496"")"),4550)</f>
        <v>4550</v>
      </c>
      <c r="M601" s="175"/>
      <c r="N601" s="175">
        <f ca="1">IFERROR(__xludf.DUMMYFUNCTION("IMPORTRANGE(""https://docs.google.com/spreadsheets/d/1IYY_tgx_IHuhSq3AJ5eI5OnqOPBNLWSHKh2a30DoXe8/edit?usp=sharing"",""พัทลุง!M496"")"),5945)</f>
        <v>5945</v>
      </c>
      <c r="O601" s="175">
        <f t="shared" ca="1" si="125"/>
        <v>130.65934065934067</v>
      </c>
      <c r="P601" s="175"/>
    </row>
    <row r="602" spans="1:16" ht="21.75" customHeight="1" x14ac:dyDescent="0.2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IFERROR(__xludf.DUMMYFUNCTION("IMPORTRANGE(""https://docs.google.com/spreadsheets/d/1IYY_tgx_IHuhSq3AJ5eI5OnqOPBNLWSHKh2a30DoXe8/edit?usp=sharing"",""พัทลุง!M497"")"),0)</f>
        <v>0</v>
      </c>
      <c r="O602" s="175"/>
      <c r="P602" s="175"/>
    </row>
    <row r="603" spans="1:16" ht="21.75" customHeight="1" x14ac:dyDescent="0.2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IFERROR(__xludf.DUMMYFUNCTION("IMPORTRANGE(""https://docs.google.com/spreadsheets/d/1IYY_tgx_IHuhSq3AJ5eI5OnqOPBNLWSHKh2a30DoXe8/edit?usp=sharing"",""พัทลุง!M498"")"),0)</f>
        <v>0</v>
      </c>
      <c r="O603" s="175"/>
      <c r="P603" s="175"/>
    </row>
    <row r="604" spans="1:16" ht="21.75" customHeight="1" x14ac:dyDescent="0.2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5"/>
      <c r="P604" s="175"/>
    </row>
    <row r="605" spans="1:16" ht="21.75" customHeight="1" x14ac:dyDescent="0.2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IFERROR(__xludf.DUMMYFUNCTION("IMPORTRANGE(""https://docs.google.com/spreadsheets/d/1IYY_tgx_IHuhSq3AJ5eI5OnqOPBNLWSHKh2a30DoXe8/edit?usp=sharing"",""พัทลุง!M500"")"),5945)</f>
        <v>5945</v>
      </c>
      <c r="O605" s="175"/>
      <c r="P605" s="175"/>
    </row>
    <row r="606" spans="1:16" ht="21.75" customHeight="1" x14ac:dyDescent="0.2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2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IFERROR(__xludf.DUMMYFUNCTION("IMPORTRANGE(""https://docs.google.com/spreadsheets/d/1IYY_tgx_IHuhSq3AJ5eI5OnqOPBNLWSHKh2a30DoXe8/edit?usp=sharing"",""พัทลุง!J502"")"),0)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2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IFERROR(__xludf.DUMMYFUNCTION("IMPORTRANGE(""https://docs.google.com/spreadsheets/d/1IYY_tgx_IHuhSq3AJ5eI5OnqOPBNLWSHKh2a30DoXe8/edit?usp=sharing"",""พัทลุง!J503"")"),1)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25">
      <c r="A609" s="495"/>
      <c r="B609" s="496"/>
      <c r="C609" s="496"/>
      <c r="D609" s="497"/>
      <c r="E609" s="498" t="s">
        <v>46</v>
      </c>
      <c r="F609" s="499"/>
      <c r="G609" s="500"/>
      <c r="H609" s="501"/>
      <c r="I609" s="502"/>
      <c r="J609" s="502">
        <f ca="1">IFERROR(__xludf.DUMMYFUNCTION("IMPORTRANGE(""https://docs.google.com/spreadsheets/d/1IYY_tgx_IHuhSq3AJ5eI5OnqOPBNLWSHKh2a30DoXe8/edit?usp=sharing"",""พัทลุง!J166"")"),0)</f>
        <v>0</v>
      </c>
      <c r="K609" s="503"/>
      <c r="L609" s="504"/>
      <c r="M609" s="504"/>
      <c r="N609" s="504"/>
      <c r="O609" s="504"/>
      <c r="P609" s="504"/>
    </row>
    <row r="610" spans="1:16" ht="21.75" hidden="1" customHeight="1" x14ac:dyDescent="0.25">
      <c r="A610" s="495"/>
      <c r="B610" s="496"/>
      <c r="C610" s="496"/>
      <c r="D610" s="497"/>
      <c r="E610" s="498" t="s">
        <v>47</v>
      </c>
      <c r="F610" s="499"/>
      <c r="G610" s="500"/>
      <c r="H610" s="501"/>
      <c r="I610" s="502"/>
      <c r="J610" s="502">
        <f ca="1">IFERROR(__xludf.DUMMYFUNCTION("IMPORTRANGE(""https://docs.google.com/spreadsheets/d/1IYY_tgx_IHuhSq3AJ5eI5OnqOPBNLWSHKh2a30DoXe8/edit?usp=sharing"",""พัทลุง!J166"")"),0)</f>
        <v>0</v>
      </c>
      <c r="K610" s="503"/>
      <c r="L610" s="504"/>
      <c r="M610" s="504"/>
      <c r="N610" s="504"/>
      <c r="O610" s="504"/>
      <c r="P610" s="504"/>
    </row>
    <row r="611" spans="1:16" ht="21.75" customHeight="1" x14ac:dyDescent="0.2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IFERROR(__xludf.DUMMYFUNCTION("IMPORTRANGE(""https://docs.google.com/spreadsheets/d/1IYY_tgx_IHuhSq3AJ5eI5OnqOPBNLWSHKh2a30DoXe8/edit?usp=sharing"",""พัทลุง!I506"")"),50)</f>
        <v>50</v>
      </c>
      <c r="J611" s="166">
        <f ca="1">IFERROR(__xludf.DUMMYFUNCTION("IMPORTRANGE(""https://docs.google.com/spreadsheets/d/1IYY_tgx_IHuhSq3AJ5eI5OnqOPBNLWSHKh2a30DoXe8/edit?usp=sharing"",""พัทลุง!J506"")"),0)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2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IFERROR(__xludf.DUMMYFUNCTION("IMPORTRANGE(""https://docs.google.com/spreadsheets/d/1IYY_tgx_IHuhSq3AJ5eI5OnqOPBNLWSHKh2a30DoXe8/edit?usp=sharing"",""พัทลุง!I507"")"),0)</f>
        <v>0</v>
      </c>
      <c r="J612" s="204">
        <f ca="1">IFERROR(__xludf.DUMMYFUNCTION("IMPORTRANGE(""https://docs.google.com/spreadsheets/d/1IYY_tgx_IHuhSq3AJ5eI5OnqOPBNLWSHKh2a30DoXe8/edit?usp=sharing"",""พัทลุง!J507"")"),30)</f>
        <v>30</v>
      </c>
      <c r="K612" s="167">
        <f t="shared" ca="1" si="126"/>
        <v>60</v>
      </c>
      <c r="L612" s="188"/>
      <c r="M612" s="188"/>
      <c r="N612" s="188"/>
      <c r="O612" s="188"/>
      <c r="P612" s="188"/>
    </row>
    <row r="613" spans="1:16" ht="21.75" customHeight="1" x14ac:dyDescent="0.2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IFERROR(__xludf.DUMMYFUNCTION("IMPORTRANGE(""https://docs.google.com/spreadsheets/d/1IYY_tgx_IHuhSq3AJ5eI5OnqOPBNLWSHKh2a30DoXe8/edit?usp=sharing"",""พัทลุง!I508"")"),0)</f>
        <v>0</v>
      </c>
      <c r="J613" s="204">
        <f ca="1">IFERROR(__xludf.DUMMYFUNCTION("IMPORTRANGE(""https://docs.google.com/spreadsheets/d/1IYY_tgx_IHuhSq3AJ5eI5OnqOPBNLWSHKh2a30DoXe8/edit?usp=sharing"",""พัทลุง!J508"")"),30)</f>
        <v>30</v>
      </c>
      <c r="K613" s="167">
        <f t="shared" ca="1" si="126"/>
        <v>60</v>
      </c>
      <c r="L613" s="188"/>
      <c r="M613" s="188"/>
      <c r="N613" s="188"/>
      <c r="O613" s="188"/>
      <c r="P613" s="188"/>
    </row>
    <row r="614" spans="1:16" ht="21.75" customHeight="1" x14ac:dyDescent="0.2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IFERROR(__xludf.DUMMYFUNCTION("IMPORTRANGE(""https://docs.google.com/spreadsheets/d/1IYY_tgx_IHuhSq3AJ5eI5OnqOPBNLWSHKh2a30DoXe8/edit?usp=sharing"",""พัทลุง!I509"")"),0)</f>
        <v>0</v>
      </c>
      <c r="J614" s="204">
        <f ca="1">IFERROR(__xludf.DUMMYFUNCTION("IMPORTRANGE(""https://docs.google.com/spreadsheets/d/1IYY_tgx_IHuhSq3AJ5eI5OnqOPBNLWSHKh2a30DoXe8/edit?usp=sharing"",""พัทลุง!J509"")"),30)</f>
        <v>30</v>
      </c>
      <c r="K614" s="167">
        <f t="shared" ca="1" si="126"/>
        <v>60</v>
      </c>
      <c r="L614" s="188"/>
      <c r="M614" s="188"/>
      <c r="N614" s="188"/>
      <c r="O614" s="188"/>
      <c r="P614" s="188"/>
    </row>
    <row r="615" spans="1:16" ht="21.75" customHeight="1" x14ac:dyDescent="0.2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IFERROR(__xludf.DUMMYFUNCTION("IMPORTRANGE(""https://docs.google.com/spreadsheets/d/1IYY_tgx_IHuhSq3AJ5eI5OnqOPBNLWSHKh2a30DoXe8/edit?usp=sharing"",""พัทลุง!I510"")"),0)</f>
        <v>0</v>
      </c>
      <c r="J615" s="204">
        <f ca="1">IFERROR(__xludf.DUMMYFUNCTION("IMPORTRANGE(""https://docs.google.com/spreadsheets/d/1IYY_tgx_IHuhSq3AJ5eI5OnqOPBNLWSHKh2a30DoXe8/edit?usp=sharing"",""พัทลุง!J510"")"),30)</f>
        <v>30</v>
      </c>
      <c r="K615" s="167">
        <f t="shared" ca="1" si="126"/>
        <v>60</v>
      </c>
      <c r="L615" s="188"/>
      <c r="M615" s="188"/>
      <c r="N615" s="188"/>
      <c r="O615" s="188"/>
      <c r="P615" s="188"/>
    </row>
    <row r="616" spans="1:16" ht="21.75" customHeight="1" x14ac:dyDescent="0.2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IFERROR(__xludf.DUMMYFUNCTION("IMPORTRANGE(""https://docs.google.com/spreadsheets/d/1IYY_tgx_IHuhSq3AJ5eI5OnqOPBNLWSHKh2a30DoXe8/edit?usp=sharing"",""พัทลุง!I511"")"),0)</f>
        <v>0</v>
      </c>
      <c r="J616" s="204">
        <f ca="1">IFERROR(__xludf.DUMMYFUNCTION("IMPORTRANGE(""https://docs.google.com/spreadsheets/d/1IYY_tgx_IHuhSq3AJ5eI5OnqOPBNLWSHKh2a30DoXe8/edit?usp=sharing"",""พัทลุง!J511"")"),30)</f>
        <v>30</v>
      </c>
      <c r="K616" s="167">
        <f t="shared" ca="1" si="126"/>
        <v>60</v>
      </c>
      <c r="L616" s="188"/>
      <c r="M616" s="188"/>
      <c r="N616" s="188"/>
      <c r="O616" s="188"/>
      <c r="P616" s="188"/>
    </row>
    <row r="617" spans="1:16" ht="21.75" customHeight="1" x14ac:dyDescent="0.2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IFERROR(__xludf.DUMMYFUNCTION("IMPORTRANGE(""https://docs.google.com/spreadsheets/d/1IYY_tgx_IHuhSq3AJ5eI5OnqOPBNLWSHKh2a30DoXe8/edit?usp=sharing"",""พัทลุง!I512"")"),0)</f>
        <v>0</v>
      </c>
      <c r="J617" s="194">
        <f ca="1">IFERROR(__xludf.DUMMYFUNCTION("IMPORTRANGE(""https://docs.google.com/spreadsheets/d/1IYY_tgx_IHuhSq3AJ5eI5OnqOPBNLWSHKh2a30DoXe8/edit?usp=sharing"",""พัทลุง!J512"")"),0)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25">
      <c r="A618" s="182"/>
      <c r="B618" s="183"/>
      <c r="C618" s="183"/>
      <c r="D618" s="200"/>
      <c r="E618" s="205"/>
      <c r="F618" s="202"/>
      <c r="G618" s="505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IFERROR(__xludf.DUMMYFUNCTION("IMPORTRANGE(""https://docs.google.com/spreadsheets/d/1IYY_tgx_IHuhSq3AJ5eI5OnqOPBNLWSHKh2a30DoXe8/edit?usp=sharing"",""พัทลุง!I513"")"),0)</f>
        <v>0</v>
      </c>
      <c r="J618" s="195">
        <f ca="1">IFERROR(__xludf.DUMMYFUNCTION("IMPORTRANGE(""https://docs.google.com/spreadsheets/d/1IYY_tgx_IHuhSq3AJ5eI5OnqOPBNLWSHKh2a30DoXe8/edit?usp=sharing"",""พัทลุง!J513"")"),0)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25">
      <c r="A619" s="182"/>
      <c r="B619" s="183"/>
      <c r="C619" s="183"/>
      <c r="D619" s="200"/>
      <c r="E619" s="205"/>
      <c r="F619" s="202"/>
      <c r="G619" s="505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IFERROR(__xludf.DUMMYFUNCTION("IMPORTRANGE(""https://docs.google.com/spreadsheets/d/1IYY_tgx_IHuhSq3AJ5eI5OnqOPBNLWSHKh2a30DoXe8/edit?usp=sharing"",""พัทลุง!I514"")"),0)</f>
        <v>0</v>
      </c>
      <c r="J619" s="195">
        <f ca="1">IFERROR(__xludf.DUMMYFUNCTION("IMPORTRANGE(""https://docs.google.com/spreadsheets/d/1IYY_tgx_IHuhSq3AJ5eI5OnqOPBNLWSHKh2a30DoXe8/edit?usp=sharing"",""พัทลุง!J514"")"),0)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2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IFERROR(__xludf.DUMMYFUNCTION("IMPORTRANGE(""https://docs.google.com/spreadsheets/d/1IYY_tgx_IHuhSq3AJ5eI5OnqOPBNLWSHKh2a30DoXe8/edit?usp=sharing"",""พัทลุง!I515"")"),0)</f>
        <v>0</v>
      </c>
      <c r="J620" s="209">
        <f ca="1">IFERROR(__xludf.DUMMYFUNCTION("IMPORTRANGE(""https://docs.google.com/spreadsheets/d/1IYY_tgx_IHuhSq3AJ5eI5OnqOPBNLWSHKh2a30DoXe8/edit?usp=sharing"",""พัทลุง!J515"")"),0)</f>
        <v>0</v>
      </c>
      <c r="K620" s="167">
        <f t="shared" ref="K620:K626" ca="1" si="127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2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IFERROR(__xludf.DUMMYFUNCTION("IMPORTRANGE(""https://docs.google.com/spreadsheets/d/1IYY_tgx_IHuhSq3AJ5eI5OnqOPBNLWSHKh2a30DoXe8/edit?usp=sharing"",""พัทลุง!I516"")"),0)</f>
        <v>0</v>
      </c>
      <c r="J621" s="209">
        <f ca="1">IFERROR(__xludf.DUMMYFUNCTION("IMPORTRANGE(""https://docs.google.com/spreadsheets/d/1IYY_tgx_IHuhSq3AJ5eI5OnqOPBNLWSHKh2a30DoXe8/edit?usp=sharing"",""พัทลุง!J516"")"),0)</f>
        <v>0</v>
      </c>
      <c r="K621" s="167">
        <f t="shared" ca="1" si="127"/>
        <v>0</v>
      </c>
      <c r="L621" s="188"/>
      <c r="M621" s="188"/>
      <c r="N621" s="188"/>
      <c r="O621" s="188"/>
      <c r="P621" s="188"/>
    </row>
    <row r="622" spans="1:16" ht="21.75" customHeight="1" x14ac:dyDescent="0.25">
      <c r="A622" s="182"/>
      <c r="B622" s="183"/>
      <c r="C622" s="183"/>
      <c r="D622" s="200"/>
      <c r="E622" s="205"/>
      <c r="F622" s="202"/>
      <c r="G622" s="505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IFERROR(__xludf.DUMMYFUNCTION("IMPORTRANGE(""https://docs.google.com/spreadsheets/d/1IYY_tgx_IHuhSq3AJ5eI5OnqOPBNLWSHKh2a30DoXe8/edit?usp=sharing"",""พัทลุง!I517"")"),0)</f>
        <v>0</v>
      </c>
      <c r="J622" s="195">
        <f ca="1">IFERROR(__xludf.DUMMYFUNCTION("IMPORTRANGE(""https://docs.google.com/spreadsheets/d/1IYY_tgx_IHuhSq3AJ5eI5OnqOPBNLWSHKh2a30DoXe8/edit?usp=sharing"",""พัทลุง!J517"")"),0)</f>
        <v>0</v>
      </c>
      <c r="K622" s="167">
        <f t="shared" ca="1" si="127"/>
        <v>0</v>
      </c>
      <c r="L622" s="188"/>
      <c r="M622" s="188"/>
      <c r="N622" s="188"/>
      <c r="O622" s="188"/>
      <c r="P622" s="188"/>
    </row>
    <row r="623" spans="1:16" ht="21.75" customHeight="1" x14ac:dyDescent="0.25">
      <c r="A623" s="182"/>
      <c r="B623" s="183"/>
      <c r="C623" s="183"/>
      <c r="D623" s="200"/>
      <c r="E623" s="205"/>
      <c r="F623" s="202"/>
      <c r="G623" s="505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IFERROR(__xludf.DUMMYFUNCTION("IMPORTRANGE(""https://docs.google.com/spreadsheets/d/1IYY_tgx_IHuhSq3AJ5eI5OnqOPBNLWSHKh2a30DoXe8/edit?usp=sharing"",""พัทลุง!I518"")"),0)</f>
        <v>0</v>
      </c>
      <c r="J623" s="195">
        <f ca="1">IFERROR(__xludf.DUMMYFUNCTION("IMPORTRANGE(""https://docs.google.com/spreadsheets/d/1IYY_tgx_IHuhSq3AJ5eI5OnqOPBNLWSHKh2a30DoXe8/edit?usp=sharing"",""พัทลุง!J518"")"),0)</f>
        <v>0</v>
      </c>
      <c r="K623" s="167">
        <f t="shared" ca="1" si="127"/>
        <v>0</v>
      </c>
      <c r="L623" s="188"/>
      <c r="M623" s="188"/>
      <c r="N623" s="188"/>
      <c r="O623" s="188"/>
      <c r="P623" s="188"/>
    </row>
    <row r="624" spans="1:16" ht="21.75" customHeight="1" x14ac:dyDescent="0.2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IFERROR(__xludf.DUMMYFUNCTION("IMPORTRANGE(""https://docs.google.com/spreadsheets/d/1IYY_tgx_IHuhSq3AJ5eI5OnqOPBNLWSHKh2a30DoXe8/edit?usp=sharing"",""พัทลุง!I519"")"),0)</f>
        <v>0</v>
      </c>
      <c r="J624" s="194">
        <f ca="1">IFERROR(__xludf.DUMMYFUNCTION("IMPORTRANGE(""https://docs.google.com/spreadsheets/d/1IYY_tgx_IHuhSq3AJ5eI5OnqOPBNLWSHKh2a30DoXe8/edit?usp=sharing"",""พัทลุง!J519"")"),0)</f>
        <v>0</v>
      </c>
      <c r="K624" s="167">
        <f t="shared" ca="1" si="127"/>
        <v>0</v>
      </c>
      <c r="L624" s="188"/>
      <c r="M624" s="188"/>
      <c r="N624" s="188"/>
      <c r="O624" s="188"/>
      <c r="P624" s="188"/>
    </row>
    <row r="625" spans="1:16" ht="21.75" customHeight="1" x14ac:dyDescent="0.25">
      <c r="A625" s="182"/>
      <c r="B625" s="183"/>
      <c r="C625" s="183"/>
      <c r="D625" s="200"/>
      <c r="E625" s="205"/>
      <c r="F625" s="202"/>
      <c r="G625" s="505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IFERROR(__xludf.DUMMYFUNCTION("IMPORTRANGE(""https://docs.google.com/spreadsheets/d/1IYY_tgx_IHuhSq3AJ5eI5OnqOPBNLWSHKh2a30DoXe8/edit?usp=sharing"",""พัทลุง!I520"")"),0)</f>
        <v>0</v>
      </c>
      <c r="J625" s="195">
        <f ca="1">IFERROR(__xludf.DUMMYFUNCTION("IMPORTRANGE(""https://docs.google.com/spreadsheets/d/1IYY_tgx_IHuhSq3AJ5eI5OnqOPBNLWSHKh2a30DoXe8/edit?usp=sharing"",""พัทลุง!J520"")"),0)</f>
        <v>0</v>
      </c>
      <c r="K625" s="167">
        <f t="shared" ca="1" si="127"/>
        <v>0</v>
      </c>
      <c r="L625" s="188"/>
      <c r="M625" s="188"/>
      <c r="N625" s="188"/>
      <c r="O625" s="188"/>
      <c r="P625" s="188"/>
    </row>
    <row r="626" spans="1:16" ht="21.75" customHeight="1" x14ac:dyDescent="0.25">
      <c r="A626" s="182"/>
      <c r="B626" s="183"/>
      <c r="C626" s="183"/>
      <c r="D626" s="200"/>
      <c r="E626" s="205"/>
      <c r="F626" s="202"/>
      <c r="G626" s="505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IFERROR(__xludf.DUMMYFUNCTION("IMPORTRANGE(""https://docs.google.com/spreadsheets/d/1IYY_tgx_IHuhSq3AJ5eI5OnqOPBNLWSHKh2a30DoXe8/edit?usp=sharing"",""พัทลุง!I521"")"),0)</f>
        <v>0</v>
      </c>
      <c r="J626" s="195">
        <f ca="1">IFERROR(__xludf.DUMMYFUNCTION("IMPORTRANGE(""https://docs.google.com/spreadsheets/d/1IYY_tgx_IHuhSq3AJ5eI5OnqOPBNLWSHKh2a30DoXe8/edit?usp=sharing"",""พัทลุง!J521"")"),0)</f>
        <v>0</v>
      </c>
      <c r="K626" s="167">
        <f t="shared" ca="1" si="127"/>
        <v>0</v>
      </c>
      <c r="L626" s="188"/>
      <c r="M626" s="188"/>
      <c r="N626" s="188"/>
      <c r="O626" s="188"/>
      <c r="P626" s="188"/>
    </row>
    <row r="627" spans="1:16" ht="21.75" customHeight="1" x14ac:dyDescent="0.25">
      <c r="A627" s="506" t="s">
        <v>232</v>
      </c>
      <c r="B627" s="507"/>
      <c r="C627" s="507"/>
      <c r="D627" s="507"/>
      <c r="E627" s="507"/>
      <c r="F627" s="507"/>
      <c r="G627" s="508"/>
      <c r="H627" s="509"/>
      <c r="I627" s="510"/>
      <c r="J627" s="510"/>
      <c r="K627" s="511"/>
      <c r="L627" s="511"/>
      <c r="M627" s="511"/>
      <c r="N627" s="511"/>
      <c r="O627" s="512"/>
      <c r="P627" s="512"/>
    </row>
    <row r="628" spans="1:16" ht="21.75" customHeight="1" x14ac:dyDescent="0.25">
      <c r="A628" s="485"/>
      <c r="B628" s="513" t="s">
        <v>233</v>
      </c>
      <c r="C628" s="163"/>
      <c r="D628" s="170"/>
      <c r="E628" s="171"/>
      <c r="F628" s="171"/>
      <c r="G628" s="164"/>
      <c r="H628" s="514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IFERROR(__xludf.DUMMYFUNCTION("IMPORTRANGE(""https://docs.google.com/spreadsheets/d/1IYY_tgx_IHuhSq3AJ5eI5OnqOPBNLWSHKh2a30DoXe8/edit?usp=sharing"",""พัทลุง!J523"")"),1011661.72)</f>
        <v>1011661.72</v>
      </c>
      <c r="K628" s="348">
        <f t="shared" ref="K628:K635" ca="1" si="128">IF(I628&gt;0,J628*100/I628,0)</f>
        <v>64.629721662661325</v>
      </c>
      <c r="L628" s="348"/>
      <c r="M628" s="348"/>
      <c r="N628" s="348"/>
      <c r="O628" s="175"/>
      <c r="P628" s="175"/>
    </row>
    <row r="629" spans="1:16" ht="21.75" customHeight="1" x14ac:dyDescent="0.25">
      <c r="A629" s="485"/>
      <c r="B629" s="163"/>
      <c r="C629" s="163"/>
      <c r="D629" s="170"/>
      <c r="E629" s="171"/>
      <c r="F629" s="171"/>
      <c r="G629" s="164"/>
      <c r="H629" s="514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IFERROR(__xludf.DUMMYFUNCTION("IMPORTRANGE(""https://docs.google.com/spreadsheets/d/1IYY_tgx_IHuhSq3AJ5eI5OnqOPBNLWSHKh2a30DoXe8/edit?usp=sharing"",""พัทลุง!J524"")"),100)</f>
        <v>100</v>
      </c>
      <c r="K629" s="348">
        <f t="shared" ca="1" si="128"/>
        <v>63.291139240506332</v>
      </c>
      <c r="L629" s="348"/>
      <c r="M629" s="348"/>
      <c r="N629" s="348"/>
      <c r="O629" s="175"/>
      <c r="P629" s="175"/>
    </row>
    <row r="630" spans="1:16" ht="21.75" customHeight="1" x14ac:dyDescent="0.25">
      <c r="A630" s="485"/>
      <c r="B630" s="513" t="s">
        <v>234</v>
      </c>
      <c r="C630" s="163"/>
      <c r="D630" s="170"/>
      <c r="E630" s="171"/>
      <c r="F630" s="171"/>
      <c r="G630" s="164"/>
      <c r="H630" s="514" t="s">
        <v>12</v>
      </c>
      <c r="I630" s="347">
        <f ca="1">IFERROR(__xludf.DUMMYFUNCTION("IMPORTRANGE(""https://docs.google.com/spreadsheets/d/1IYY_tgx_IHuhSq3AJ5eI5OnqOPBNLWSHKh2a30DoXe8/edit?usp=sharing"",""พัทลุง!I525"")"),1351205.29)</f>
        <v>1351205.29</v>
      </c>
      <c r="J630" s="347">
        <f ca="1">IFERROR(__xludf.DUMMYFUNCTION("IMPORTRANGE(""https://docs.google.com/spreadsheets/d/1IYY_tgx_IHuhSq3AJ5eI5OnqOPBNLWSHKh2a30DoXe8/edit?usp=sharing"",""พัทลุง!J525"")"),172083.92)</f>
        <v>172083.92</v>
      </c>
      <c r="K630" s="348">
        <f t="shared" ca="1" si="128"/>
        <v>12.735586610973082</v>
      </c>
      <c r="L630" s="348"/>
      <c r="M630" s="348"/>
      <c r="N630" s="348"/>
      <c r="O630" s="175"/>
      <c r="P630" s="175"/>
    </row>
    <row r="631" spans="1:16" ht="21.75" customHeight="1" x14ac:dyDescent="0.25">
      <c r="A631" s="485"/>
      <c r="B631" s="163"/>
      <c r="C631" s="163"/>
      <c r="D631" s="170"/>
      <c r="E631" s="171"/>
      <c r="F631" s="171"/>
      <c r="G631" s="164"/>
      <c r="H631" s="514" t="s">
        <v>37</v>
      </c>
      <c r="I631" s="347">
        <f ca="1">IFERROR(__xludf.DUMMYFUNCTION("IMPORTRANGE(""https://docs.google.com/spreadsheets/d/1IYY_tgx_IHuhSq3AJ5eI5OnqOPBNLWSHKh2a30DoXe8/edit?usp=sharing"",""พัทลุง!I526"")"),57)</f>
        <v>57</v>
      </c>
      <c r="J631" s="347">
        <f ca="1">IFERROR(__xludf.DUMMYFUNCTION("IMPORTRANGE(""https://docs.google.com/spreadsheets/d/1IYY_tgx_IHuhSq3AJ5eI5OnqOPBNLWSHKh2a30DoXe8/edit?usp=sharing"",""พัทลุง!J526"")"),44)</f>
        <v>44</v>
      </c>
      <c r="K631" s="348">
        <f t="shared" ca="1" si="128"/>
        <v>77.192982456140356</v>
      </c>
      <c r="L631" s="348"/>
      <c r="M631" s="348"/>
      <c r="N631" s="348"/>
      <c r="O631" s="175"/>
      <c r="P631" s="175"/>
    </row>
    <row r="632" spans="1:16" ht="21.75" customHeight="1" x14ac:dyDescent="0.25">
      <c r="A632" s="485"/>
      <c r="B632" s="513" t="s">
        <v>235</v>
      </c>
      <c r="C632" s="163"/>
      <c r="D632" s="170"/>
      <c r="E632" s="171"/>
      <c r="F632" s="171"/>
      <c r="G632" s="164"/>
      <c r="H632" s="514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IFERROR(__xludf.DUMMYFUNCTION("IMPORTRANGE(""https://docs.google.com/spreadsheets/d/1IYY_tgx_IHuhSq3AJ5eI5OnqOPBNLWSHKh2a30DoXe8/edit?usp=sharing"",""พัทลุง!J527"")"),3354.9)</f>
        <v>3354.9</v>
      </c>
      <c r="K632" s="348">
        <f t="shared" ca="1" si="128"/>
        <v>0</v>
      </c>
      <c r="L632" s="348"/>
      <c r="M632" s="348"/>
      <c r="N632" s="348"/>
      <c r="O632" s="175"/>
      <c r="P632" s="175"/>
    </row>
    <row r="633" spans="1:16" ht="21.75" customHeight="1" x14ac:dyDescent="0.25">
      <c r="A633" s="485"/>
      <c r="B633" s="513"/>
      <c r="C633" s="163"/>
      <c r="D633" s="170"/>
      <c r="E633" s="171"/>
      <c r="F633" s="171"/>
      <c r="G633" s="164"/>
      <c r="H633" s="514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IFERROR(__xludf.DUMMYFUNCTION("IMPORTRANGE(""https://docs.google.com/spreadsheets/d/1IYY_tgx_IHuhSq3AJ5eI5OnqOPBNLWSHKh2a30DoXe8/edit?usp=sharing"",""พัทลุง!J528"")"),11)</f>
        <v>11</v>
      </c>
      <c r="K633" s="348">
        <f t="shared" ca="1" si="128"/>
        <v>0</v>
      </c>
      <c r="L633" s="348"/>
      <c r="M633" s="348"/>
      <c r="N633" s="348"/>
      <c r="O633" s="175"/>
      <c r="P633" s="175"/>
    </row>
    <row r="634" spans="1:16" ht="21.75" customHeight="1" x14ac:dyDescent="0.25">
      <c r="A634" s="485"/>
      <c r="B634" s="513" t="s">
        <v>236</v>
      </c>
      <c r="C634" s="163"/>
      <c r="D634" s="170"/>
      <c r="E634" s="171"/>
      <c r="F634" s="171"/>
      <c r="G634" s="164"/>
      <c r="H634" s="514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IFERROR(__xludf.DUMMYFUNCTION("IMPORTRANGE(""https://docs.google.com/spreadsheets/d/1IYY_tgx_IHuhSq3AJ5eI5OnqOPBNLWSHKh2a30DoXe8/edit?usp=sharing"",""พัทลุง!J529"")"),825000)</f>
        <v>825000</v>
      </c>
      <c r="K634" s="348">
        <f t="shared" ca="1" si="128"/>
        <v>67.622950819672127</v>
      </c>
      <c r="L634" s="348"/>
      <c r="M634" s="348"/>
      <c r="N634" s="348"/>
      <c r="O634" s="175"/>
      <c r="P634" s="175"/>
    </row>
    <row r="635" spans="1:16" ht="21.75" customHeight="1" x14ac:dyDescent="0.25">
      <c r="A635" s="487"/>
      <c r="B635" s="489"/>
      <c r="C635" s="489"/>
      <c r="D635" s="488"/>
      <c r="E635" s="515"/>
      <c r="F635" s="515"/>
      <c r="G635" s="516"/>
      <c r="H635" s="517" t="s">
        <v>37</v>
      </c>
      <c r="I635" s="518">
        <f ca="1">IFERROR(__xludf.DUMMYFUNCTION("IMPORTRANGE(""https://docs.google.com/spreadsheets/d/1IYY_tgx_IHuhSq3AJ5eI5OnqOPBNLWSHKh2a30DoXe8/edit?usp=sharing"",""พัทลุง!I530"")"),41)</f>
        <v>41</v>
      </c>
      <c r="J635" s="518">
        <f ca="1">IFERROR(__xludf.DUMMYFUNCTION("IMPORTRANGE(""https://docs.google.com/spreadsheets/d/1IYY_tgx_IHuhSq3AJ5eI5OnqOPBNLWSHKh2a30DoXe8/edit?usp=sharing"",""พัทลุง!J530"")"),23)</f>
        <v>23</v>
      </c>
      <c r="K635" s="493">
        <f t="shared" ca="1" si="128"/>
        <v>56.097560975609753</v>
      </c>
      <c r="L635" s="493"/>
      <c r="M635" s="493"/>
      <c r="N635" s="493"/>
      <c r="O635" s="519"/>
      <c r="P635" s="519"/>
    </row>
    <row r="636" spans="1:16" ht="21.75" customHeight="1" x14ac:dyDescent="0.3">
      <c r="A636" s="520"/>
      <c r="B636" s="599" t="s">
        <v>237</v>
      </c>
      <c r="C636" s="600"/>
      <c r="D636" s="600"/>
      <c r="E636" s="600"/>
      <c r="F636" s="600"/>
      <c r="G636" s="600"/>
      <c r="H636" s="521"/>
      <c r="I636" s="521"/>
      <c r="J636" s="521"/>
      <c r="K636" s="522"/>
      <c r="L636" s="523">
        <f ca="1">SUM(L637,L638)</f>
        <v>0</v>
      </c>
      <c r="M636" s="524"/>
      <c r="N636" s="523">
        <f ca="1">SUM(N637:N638)</f>
        <v>0</v>
      </c>
      <c r="O636" s="523">
        <f t="shared" ref="O636:O640" ca="1" si="129">+IF(L636&gt;0,N636*100/L636,0)</f>
        <v>0</v>
      </c>
      <c r="P636" s="523"/>
    </row>
    <row r="637" spans="1:16" ht="21.75" customHeight="1" x14ac:dyDescent="0.3">
      <c r="A637" s="525"/>
      <c r="B637" s="526"/>
      <c r="C637" s="527" t="s">
        <v>16</v>
      </c>
      <c r="D637" s="601" t="s">
        <v>77</v>
      </c>
      <c r="E637" s="575"/>
      <c r="F637" s="575"/>
      <c r="G637" s="528" t="s">
        <v>18</v>
      </c>
      <c r="H637" s="529" t="s">
        <v>12</v>
      </c>
      <c r="I637" s="530"/>
      <c r="J637" s="531"/>
      <c r="K637" s="532"/>
      <c r="L637" s="533">
        <v>0</v>
      </c>
      <c r="M637" s="534"/>
      <c r="N637" s="535">
        <v>0</v>
      </c>
      <c r="O637" s="535">
        <f t="shared" si="129"/>
        <v>0</v>
      </c>
      <c r="P637" s="535"/>
    </row>
    <row r="638" spans="1:16" ht="21.75" customHeight="1" x14ac:dyDescent="0.3">
      <c r="A638" s="525"/>
      <c r="B638" s="526"/>
      <c r="C638" s="526"/>
      <c r="D638" s="526"/>
      <c r="E638" s="526"/>
      <c r="F638" s="526"/>
      <c r="G638" s="528" t="s">
        <v>19</v>
      </c>
      <c r="H638" s="529" t="s">
        <v>12</v>
      </c>
      <c r="I638" s="530"/>
      <c r="J638" s="531"/>
      <c r="K638" s="532"/>
      <c r="L638" s="533">
        <f ca="1">SUM(L639:L640)</f>
        <v>0</v>
      </c>
      <c r="M638" s="534"/>
      <c r="N638" s="535">
        <f ca="1">SUM(N639:N640)</f>
        <v>0</v>
      </c>
      <c r="O638" s="535">
        <f t="shared" ca="1" si="129"/>
        <v>0</v>
      </c>
      <c r="P638" s="535"/>
    </row>
    <row r="639" spans="1:16" ht="21.75" customHeight="1" x14ac:dyDescent="0.3">
      <c r="A639" s="525"/>
      <c r="B639" s="526"/>
      <c r="C639" s="526"/>
      <c r="D639" s="526"/>
      <c r="E639" s="526"/>
      <c r="F639" s="526"/>
      <c r="G639" s="528" t="s">
        <v>21</v>
      </c>
      <c r="H639" s="529" t="s">
        <v>12</v>
      </c>
      <c r="I639" s="531"/>
      <c r="J639" s="531"/>
      <c r="K639" s="532"/>
      <c r="L639" s="535">
        <v>0</v>
      </c>
      <c r="M639" s="534"/>
      <c r="N639" s="535">
        <v>0</v>
      </c>
      <c r="O639" s="535">
        <f t="shared" si="129"/>
        <v>0</v>
      </c>
      <c r="P639" s="535"/>
    </row>
    <row r="640" spans="1:16" ht="21.75" customHeight="1" x14ac:dyDescent="0.3">
      <c r="A640" s="525"/>
      <c r="B640" s="526"/>
      <c r="C640" s="526"/>
      <c r="D640" s="526"/>
      <c r="E640" s="526"/>
      <c r="F640" s="526"/>
      <c r="G640" s="528" t="s">
        <v>22</v>
      </c>
      <c r="H640" s="529" t="s">
        <v>12</v>
      </c>
      <c r="I640" s="531"/>
      <c r="J640" s="531"/>
      <c r="K640" s="532"/>
      <c r="L640" s="535">
        <f ca="1">L648+L649+L650+L651+L661+L665+L668+L671</f>
        <v>0</v>
      </c>
      <c r="M640" s="534"/>
      <c r="N640" s="535">
        <f ca="1">SUM(N641:N644)</f>
        <v>0</v>
      </c>
      <c r="O640" s="535">
        <f t="shared" ca="1" si="129"/>
        <v>0</v>
      </c>
      <c r="P640" s="535"/>
    </row>
    <row r="641" spans="1:16" ht="21.75" customHeight="1" x14ac:dyDescent="0.3">
      <c r="A641" s="525"/>
      <c r="B641" s="526"/>
      <c r="C641" s="526"/>
      <c r="D641" s="526"/>
      <c r="E641" s="526"/>
      <c r="F641" s="526"/>
      <c r="G641" s="528" t="s">
        <v>238</v>
      </c>
      <c r="H641" s="529" t="s">
        <v>12</v>
      </c>
      <c r="I641" s="536"/>
      <c r="J641" s="536"/>
      <c r="K641" s="537"/>
      <c r="L641" s="537"/>
      <c r="M641" s="534"/>
      <c r="N641" s="535">
        <v>0</v>
      </c>
      <c r="O641" s="537"/>
      <c r="P641" s="537"/>
    </row>
    <row r="642" spans="1:16" ht="21.75" customHeight="1" x14ac:dyDescent="0.3">
      <c r="A642" s="525"/>
      <c r="B642" s="526"/>
      <c r="C642" s="526"/>
      <c r="D642" s="526"/>
      <c r="E642" s="526"/>
      <c r="F642" s="526"/>
      <c r="G642" s="528" t="s">
        <v>239</v>
      </c>
      <c r="H642" s="529" t="s">
        <v>12</v>
      </c>
      <c r="I642" s="536"/>
      <c r="J642" s="536"/>
      <c r="K642" s="537"/>
      <c r="L642" s="537"/>
      <c r="M642" s="534"/>
      <c r="N642" s="535">
        <v>0</v>
      </c>
      <c r="O642" s="537"/>
      <c r="P642" s="537"/>
    </row>
    <row r="643" spans="1:16" ht="21.75" customHeight="1" x14ac:dyDescent="0.3">
      <c r="A643" s="525"/>
      <c r="B643" s="526"/>
      <c r="C643" s="526"/>
      <c r="D643" s="526"/>
      <c r="E643" s="526"/>
      <c r="F643" s="526"/>
      <c r="G643" s="528" t="s">
        <v>240</v>
      </c>
      <c r="H643" s="529" t="s">
        <v>12</v>
      </c>
      <c r="I643" s="536"/>
      <c r="J643" s="536"/>
      <c r="K643" s="537"/>
      <c r="L643" s="537"/>
      <c r="M643" s="534"/>
      <c r="N643" s="535">
        <v>0</v>
      </c>
      <c r="O643" s="537"/>
      <c r="P643" s="537"/>
    </row>
    <row r="644" spans="1:16" ht="21.75" customHeight="1" x14ac:dyDescent="0.3">
      <c r="A644" s="525"/>
      <c r="B644" s="526"/>
      <c r="C644" s="526"/>
      <c r="D644" s="526"/>
      <c r="E644" s="526"/>
      <c r="F644" s="526"/>
      <c r="G644" s="528" t="s">
        <v>241</v>
      </c>
      <c r="H644" s="529" t="s">
        <v>12</v>
      </c>
      <c r="I644" s="538"/>
      <c r="J644" s="536"/>
      <c r="K644" s="537"/>
      <c r="L644" s="537"/>
      <c r="M644" s="534"/>
      <c r="N644" s="535">
        <f ca="1">N648+N649+N650+N651+N661+N665+N668+N671</f>
        <v>0</v>
      </c>
      <c r="O644" s="537"/>
      <c r="P644" s="537"/>
    </row>
    <row r="645" spans="1:16" ht="21.75" customHeight="1" x14ac:dyDescent="0.3">
      <c r="A645" s="539"/>
      <c r="B645" s="540"/>
      <c r="C645" s="527" t="s">
        <v>16</v>
      </c>
      <c r="D645" s="602" t="s">
        <v>242</v>
      </c>
      <c r="E645" s="575"/>
      <c r="F645" s="575"/>
      <c r="G645" s="575"/>
      <c r="H645" s="531"/>
      <c r="I645" s="531"/>
      <c r="J645" s="531"/>
      <c r="K645" s="532"/>
      <c r="L645" s="534"/>
      <c r="M645" s="534"/>
      <c r="N645" s="534"/>
      <c r="O645" s="532"/>
      <c r="P645" s="532"/>
    </row>
    <row r="646" spans="1:16" ht="21.75" customHeight="1" x14ac:dyDescent="0.3">
      <c r="A646" s="539"/>
      <c r="B646" s="540"/>
      <c r="C646" s="540"/>
      <c r="D646" s="541">
        <v>1</v>
      </c>
      <c r="E646" s="603" t="s">
        <v>44</v>
      </c>
      <c r="F646" s="575"/>
      <c r="G646" s="575"/>
      <c r="H646" s="536"/>
      <c r="I646" s="542"/>
      <c r="J646" s="543">
        <f ca="1">IFERROR(__xludf.DUMMYFUNCTION("IMPORTRANGE(""https://docs.google.com/spreadsheets/d/1IYY_tgx_IHuhSq3AJ5eI5OnqOPBNLWSHKh2a30DoXe8/edit?usp=sharing"",""พัทลุง!J541"")"),0)</f>
        <v>0</v>
      </c>
      <c r="K646" s="532"/>
      <c r="L646" s="534"/>
      <c r="M646" s="534"/>
      <c r="N646" s="544"/>
      <c r="O646" s="532"/>
      <c r="P646" s="532"/>
    </row>
    <row r="647" spans="1:16" ht="21.75" customHeight="1" x14ac:dyDescent="0.3">
      <c r="A647" s="539"/>
      <c r="B647" s="540"/>
      <c r="C647" s="540"/>
      <c r="D647" s="545">
        <v>2</v>
      </c>
      <c r="E647" s="604" t="s">
        <v>243</v>
      </c>
      <c r="F647" s="575"/>
      <c r="G647" s="575"/>
      <c r="H647" s="536"/>
      <c r="I647" s="542"/>
      <c r="J647" s="543">
        <f ca="1">IFERROR(__xludf.DUMMYFUNCTION("IMPORTRANGE(""https://docs.google.com/spreadsheets/d/1IYY_tgx_IHuhSq3AJ5eI5OnqOPBNLWSHKh2a30DoXe8/edit?usp=sharing"",""พัทลุง!J542"")"),0)</f>
        <v>0</v>
      </c>
      <c r="K647" s="532"/>
      <c r="L647" s="534"/>
      <c r="M647" s="534"/>
      <c r="N647" s="534"/>
      <c r="O647" s="532"/>
      <c r="P647" s="532"/>
    </row>
    <row r="648" spans="1:16" ht="21.75" customHeight="1" x14ac:dyDescent="0.3">
      <c r="A648" s="525"/>
      <c r="B648" s="526"/>
      <c r="C648" s="526"/>
      <c r="D648" s="526"/>
      <c r="E648" s="526"/>
      <c r="F648" s="598" t="s">
        <v>244</v>
      </c>
      <c r="G648" s="575"/>
      <c r="H648" s="529" t="s">
        <v>122</v>
      </c>
      <c r="I648" s="546">
        <f ca="1">IFERROR(__xludf.DUMMYFUNCTION("IMPORTRANGE(""https://docs.google.com/spreadsheets/d/1IYY_tgx_IHuhSq3AJ5eI5OnqOPBNLWSHKh2a30DoXe8/edit?usp=sharing"",""พัทลุง!I543"")"),0)</f>
        <v>0</v>
      </c>
      <c r="J648" s="547">
        <f ca="1">IFERROR(__xludf.DUMMYFUNCTION("IMPORTRANGE(""https://docs.google.com/spreadsheets/d/1IYY_tgx_IHuhSq3AJ5eI5OnqOPBNLWSHKh2a30DoXe8/edit?usp=sharing"",""พัทลุง!J543"")"),0)</f>
        <v>0</v>
      </c>
      <c r="K648" s="548">
        <f t="shared" ref="K648:K651" ca="1" si="130">IF(I648&gt;0,J648*100/I648,0)</f>
        <v>0</v>
      </c>
      <c r="L648" s="535">
        <f ca="1">IFERROR(__xludf.DUMMYFUNCTION("IMPORTRANGE(""https://docs.google.com/spreadsheets/d/1IYY_tgx_IHuhSq3AJ5eI5OnqOPBNLWSHKh2a30DoXe8/edit?usp=sharing"",""พัทลุง!L543"")"),0)</f>
        <v>0</v>
      </c>
      <c r="M648" s="534"/>
      <c r="N648" s="549">
        <f ca="1">IFERROR(__xludf.DUMMYFUNCTION("IMPORTRANGE(""https://docs.google.com/spreadsheets/d/1IYY_tgx_IHuhSq3AJ5eI5OnqOPBNLWSHKh2a30DoXe8/edit?usp=sharing"",""พัทลุง!M543"")"),0)</f>
        <v>0</v>
      </c>
      <c r="O648" s="548">
        <f t="shared" ref="O648:O651" ca="1" si="131">IF(L648&gt;0,N648*100/L648,0)</f>
        <v>0</v>
      </c>
      <c r="P648" s="548"/>
    </row>
    <row r="649" spans="1:16" ht="21.75" customHeight="1" x14ac:dyDescent="0.3">
      <c r="A649" s="525"/>
      <c r="B649" s="526"/>
      <c r="C649" s="526"/>
      <c r="D649" s="526"/>
      <c r="E649" s="526"/>
      <c r="F649" s="598" t="s">
        <v>245</v>
      </c>
      <c r="G649" s="575"/>
      <c r="H649" s="529" t="s">
        <v>37</v>
      </c>
      <c r="I649" s="546">
        <f ca="1">IFERROR(__xludf.DUMMYFUNCTION("IMPORTRANGE(""https://docs.google.com/spreadsheets/d/1IYY_tgx_IHuhSq3AJ5eI5OnqOPBNLWSHKh2a30DoXe8/edit?usp=sharing"",""พัทลุง!I544"")"),0)</f>
        <v>0</v>
      </c>
      <c r="J649" s="547">
        <f ca="1">IFERROR(__xludf.DUMMYFUNCTION("IMPORTRANGE(""https://docs.google.com/spreadsheets/d/1IYY_tgx_IHuhSq3AJ5eI5OnqOPBNLWSHKh2a30DoXe8/edit?usp=sharing"",""พัทลุง!J544"")"),0)</f>
        <v>0</v>
      </c>
      <c r="K649" s="548">
        <f t="shared" ca="1" si="130"/>
        <v>0</v>
      </c>
      <c r="L649" s="535">
        <f ca="1">IFERROR(__xludf.DUMMYFUNCTION("IMPORTRANGE(""https://docs.google.com/spreadsheets/d/1IYY_tgx_IHuhSq3AJ5eI5OnqOPBNLWSHKh2a30DoXe8/edit?usp=sharing"",""พัทลุง!L544"")"),0)</f>
        <v>0</v>
      </c>
      <c r="M649" s="534"/>
      <c r="N649" s="549">
        <f ca="1">IFERROR(__xludf.DUMMYFUNCTION("IMPORTRANGE(""https://docs.google.com/spreadsheets/d/1IYY_tgx_IHuhSq3AJ5eI5OnqOPBNLWSHKh2a30DoXe8/edit?usp=sharing"",""พัทลุง!M544"")"),0)</f>
        <v>0</v>
      </c>
      <c r="O649" s="548">
        <f t="shared" ca="1" si="131"/>
        <v>0</v>
      </c>
      <c r="P649" s="548"/>
    </row>
    <row r="650" spans="1:16" ht="21.75" customHeight="1" x14ac:dyDescent="0.3">
      <c r="A650" s="525"/>
      <c r="B650" s="526"/>
      <c r="C650" s="526"/>
      <c r="D650" s="526"/>
      <c r="E650" s="526"/>
      <c r="F650" s="598" t="s">
        <v>246</v>
      </c>
      <c r="G650" s="575"/>
      <c r="H650" s="529" t="s">
        <v>122</v>
      </c>
      <c r="I650" s="546">
        <f ca="1">IFERROR(__xludf.DUMMYFUNCTION("IMPORTRANGE(""https://docs.google.com/spreadsheets/d/1IYY_tgx_IHuhSq3AJ5eI5OnqOPBNLWSHKh2a30DoXe8/edit?usp=sharing"",""พัทลุง!I545"")"),0)</f>
        <v>0</v>
      </c>
      <c r="J650" s="547">
        <f ca="1">IFERROR(__xludf.DUMMYFUNCTION("IMPORTRANGE(""https://docs.google.com/spreadsheets/d/1IYY_tgx_IHuhSq3AJ5eI5OnqOPBNLWSHKh2a30DoXe8/edit?usp=sharing"",""พัทลุง!J545"")"),0)</f>
        <v>0</v>
      </c>
      <c r="K650" s="548">
        <f t="shared" ca="1" si="130"/>
        <v>0</v>
      </c>
      <c r="L650" s="535">
        <f ca="1">IFERROR(__xludf.DUMMYFUNCTION("IMPORTRANGE(""https://docs.google.com/spreadsheets/d/1IYY_tgx_IHuhSq3AJ5eI5OnqOPBNLWSHKh2a30DoXe8/edit?usp=sharing"",""พัทลุง!L545"")"),0)</f>
        <v>0</v>
      </c>
      <c r="M650" s="534"/>
      <c r="N650" s="549">
        <f ca="1">IFERROR(__xludf.DUMMYFUNCTION("IMPORTRANGE(""https://docs.google.com/spreadsheets/d/1IYY_tgx_IHuhSq3AJ5eI5OnqOPBNLWSHKh2a30DoXe8/edit?usp=sharing"",""พัทลุง!M545"")"),0)</f>
        <v>0</v>
      </c>
      <c r="O650" s="548">
        <f t="shared" ca="1" si="131"/>
        <v>0</v>
      </c>
      <c r="P650" s="548"/>
    </row>
    <row r="651" spans="1:16" ht="21.75" customHeight="1" x14ac:dyDescent="0.3">
      <c r="A651" s="525"/>
      <c r="B651" s="526"/>
      <c r="C651" s="526"/>
      <c r="D651" s="526"/>
      <c r="E651" s="526"/>
      <c r="F651" s="598" t="s">
        <v>247</v>
      </c>
      <c r="G651" s="575"/>
      <c r="H651" s="529" t="s">
        <v>122</v>
      </c>
      <c r="I651" s="546">
        <f ca="1">IFERROR(__xludf.DUMMYFUNCTION("IMPORTRANGE(""https://docs.google.com/spreadsheets/d/1IYY_tgx_IHuhSq3AJ5eI5OnqOPBNLWSHKh2a30DoXe8/edit?usp=sharing"",""พัทลุง!I546"")"),0)</f>
        <v>0</v>
      </c>
      <c r="J651" s="547">
        <f ca="1">J657+J660</f>
        <v>0</v>
      </c>
      <c r="K651" s="548">
        <f t="shared" ca="1" si="130"/>
        <v>0</v>
      </c>
      <c r="L651" s="535">
        <f ca="1">IFERROR(__xludf.DUMMYFUNCTION("IMPORTRANGE(""https://docs.google.com/spreadsheets/d/1IYY_tgx_IHuhSq3AJ5eI5OnqOPBNLWSHKh2a30DoXe8/edit?usp=sharing"",""พัทลุง!L546"")"),0)</f>
        <v>0</v>
      </c>
      <c r="M651" s="534"/>
      <c r="N651" s="549">
        <f ca="1">IFERROR(__xludf.DUMMYFUNCTION("IMPORTRANGE(""https://docs.google.com/spreadsheets/d/1IYY_tgx_IHuhSq3AJ5eI5OnqOPBNLWSHKh2a30DoXe8/edit?usp=sharing"",""พัทลุง!M546"")"),0)</f>
        <v>0</v>
      </c>
      <c r="O651" s="548">
        <f t="shared" ca="1" si="131"/>
        <v>0</v>
      </c>
      <c r="P651" s="548"/>
    </row>
    <row r="652" spans="1:16" ht="21.75" customHeight="1" x14ac:dyDescent="0.3">
      <c r="A652" s="525"/>
      <c r="B652" s="526"/>
      <c r="C652" s="526"/>
      <c r="D652" s="526"/>
      <c r="E652" s="526"/>
      <c r="F652" s="526"/>
      <c r="G652" s="528" t="s">
        <v>248</v>
      </c>
      <c r="H652" s="529" t="s">
        <v>36</v>
      </c>
      <c r="I652" s="550"/>
      <c r="J652" s="543">
        <f ca="1">IFERROR(__xludf.DUMMYFUNCTION("IMPORTRANGE(""https://docs.google.com/spreadsheets/d/1IYY_tgx_IHuhSq3AJ5eI5OnqOPBNLWSHKh2a30DoXe8/edit?usp=sharing"",""พัทลุง!J547"")"),0)</f>
        <v>0</v>
      </c>
      <c r="K652" s="548"/>
      <c r="L652" s="534"/>
      <c r="M652" s="534"/>
      <c r="N652" s="534"/>
      <c r="O652" s="532"/>
      <c r="P652" s="532"/>
    </row>
    <row r="653" spans="1:16" ht="21.75" customHeight="1" x14ac:dyDescent="0.3">
      <c r="A653" s="525"/>
      <c r="B653" s="526"/>
      <c r="C653" s="526"/>
      <c r="D653" s="526"/>
      <c r="E653" s="526"/>
      <c r="F653" s="526"/>
      <c r="G653" s="526"/>
      <c r="H653" s="529" t="s">
        <v>122</v>
      </c>
      <c r="I653" s="550"/>
      <c r="J653" s="543">
        <f ca="1">IFERROR(__xludf.DUMMYFUNCTION("IMPORTRANGE(""https://docs.google.com/spreadsheets/d/1IYY_tgx_IHuhSq3AJ5eI5OnqOPBNLWSHKh2a30DoXe8/edit?usp=sharing"",""พัทลุง!J548"")"),0)</f>
        <v>0</v>
      </c>
      <c r="K653" s="548"/>
      <c r="L653" s="534"/>
      <c r="M653" s="534"/>
      <c r="N653" s="534"/>
      <c r="O653" s="532"/>
      <c r="P653" s="532"/>
    </row>
    <row r="654" spans="1:16" ht="21.75" customHeight="1" x14ac:dyDescent="0.3">
      <c r="A654" s="525"/>
      <c r="B654" s="526"/>
      <c r="C654" s="526"/>
      <c r="D654" s="526"/>
      <c r="E654" s="526"/>
      <c r="F654" s="526"/>
      <c r="G654" s="528" t="s">
        <v>249</v>
      </c>
      <c r="H654" s="531"/>
      <c r="I654" s="550"/>
      <c r="J654" s="551"/>
      <c r="K654" s="548"/>
      <c r="L654" s="534"/>
      <c r="M654" s="534"/>
      <c r="N654" s="534"/>
      <c r="O654" s="532"/>
      <c r="P654" s="532"/>
    </row>
    <row r="655" spans="1:16" ht="21.75" customHeight="1" x14ac:dyDescent="0.3">
      <c r="A655" s="525"/>
      <c r="B655" s="526"/>
      <c r="C655" s="526"/>
      <c r="D655" s="526"/>
      <c r="E655" s="526"/>
      <c r="F655" s="526"/>
      <c r="G655" s="528" t="s">
        <v>250</v>
      </c>
      <c r="H655" s="529" t="s">
        <v>37</v>
      </c>
      <c r="I655" s="550"/>
      <c r="J655" s="543">
        <f ca="1">IFERROR(__xludf.DUMMYFUNCTION("IMPORTRANGE(""https://docs.google.com/spreadsheets/d/1IYY_tgx_IHuhSq3AJ5eI5OnqOPBNLWSHKh2a30DoXe8/edit?usp=sharing"",""พัทลุง!J550"")"),0)</f>
        <v>0</v>
      </c>
      <c r="K655" s="548"/>
      <c r="L655" s="534"/>
      <c r="M655" s="534"/>
      <c r="N655" s="534"/>
      <c r="O655" s="532"/>
      <c r="P655" s="532"/>
    </row>
    <row r="656" spans="1:16" ht="21.75" customHeight="1" x14ac:dyDescent="0.3">
      <c r="A656" s="525"/>
      <c r="B656" s="526"/>
      <c r="C656" s="526"/>
      <c r="D656" s="526"/>
      <c r="E656" s="526"/>
      <c r="F656" s="526"/>
      <c r="G656" s="526"/>
      <c r="H656" s="529" t="s">
        <v>36</v>
      </c>
      <c r="I656" s="550"/>
      <c r="J656" s="543">
        <f ca="1">IFERROR(__xludf.DUMMYFUNCTION("IMPORTRANGE(""https://docs.google.com/spreadsheets/d/1IYY_tgx_IHuhSq3AJ5eI5OnqOPBNLWSHKh2a30DoXe8/edit?usp=sharing"",""พัทลุง!J551"")"),0)</f>
        <v>0</v>
      </c>
      <c r="K656" s="548"/>
      <c r="L656" s="534"/>
      <c r="M656" s="534"/>
      <c r="N656" s="534"/>
      <c r="O656" s="532"/>
      <c r="P656" s="532"/>
    </row>
    <row r="657" spans="1:16" ht="21.75" customHeight="1" x14ac:dyDescent="0.3">
      <c r="A657" s="525"/>
      <c r="B657" s="526"/>
      <c r="C657" s="526"/>
      <c r="D657" s="526"/>
      <c r="E657" s="526"/>
      <c r="F657" s="526"/>
      <c r="G657" s="526"/>
      <c r="H657" s="529" t="s">
        <v>122</v>
      </c>
      <c r="I657" s="550"/>
      <c r="J657" s="543">
        <f ca="1">IFERROR(__xludf.DUMMYFUNCTION("IMPORTRANGE(""https://docs.google.com/spreadsheets/d/1IYY_tgx_IHuhSq3AJ5eI5OnqOPBNLWSHKh2a30DoXe8/edit?usp=sharing"",""พัทลุง!J552"")"),0)</f>
        <v>0</v>
      </c>
      <c r="K657" s="548"/>
      <c r="L657" s="534"/>
      <c r="M657" s="534"/>
      <c r="N657" s="534"/>
      <c r="O657" s="532"/>
      <c r="P657" s="532"/>
    </row>
    <row r="658" spans="1:16" ht="21.75" customHeight="1" x14ac:dyDescent="0.3">
      <c r="A658" s="525"/>
      <c r="B658" s="526"/>
      <c r="C658" s="526"/>
      <c r="D658" s="526"/>
      <c r="E658" s="526"/>
      <c r="F658" s="526"/>
      <c r="G658" s="528" t="s">
        <v>251</v>
      </c>
      <c r="H658" s="529" t="s">
        <v>37</v>
      </c>
      <c r="I658" s="550"/>
      <c r="J658" s="543">
        <f ca="1">IFERROR(__xludf.DUMMYFUNCTION("IMPORTRANGE(""https://docs.google.com/spreadsheets/d/1IYY_tgx_IHuhSq3AJ5eI5OnqOPBNLWSHKh2a30DoXe8/edit?usp=sharing"",""พัทลุง!J553"")"),0)</f>
        <v>0</v>
      </c>
      <c r="K658" s="548"/>
      <c r="L658" s="534"/>
      <c r="M658" s="534"/>
      <c r="N658" s="534"/>
      <c r="O658" s="532"/>
      <c r="P658" s="532"/>
    </row>
    <row r="659" spans="1:16" ht="21.75" customHeight="1" x14ac:dyDescent="0.3">
      <c r="A659" s="525"/>
      <c r="B659" s="526"/>
      <c r="C659" s="526"/>
      <c r="D659" s="526"/>
      <c r="E659" s="526"/>
      <c r="F659" s="526"/>
      <c r="G659" s="526"/>
      <c r="H659" s="529" t="s">
        <v>36</v>
      </c>
      <c r="I659" s="550"/>
      <c r="J659" s="543">
        <f ca="1">IFERROR(__xludf.DUMMYFUNCTION("IMPORTRANGE(""https://docs.google.com/spreadsheets/d/1IYY_tgx_IHuhSq3AJ5eI5OnqOPBNLWSHKh2a30DoXe8/edit?usp=sharing"",""พัทลุง!J554"")"),0)</f>
        <v>0</v>
      </c>
      <c r="K659" s="548"/>
      <c r="L659" s="534"/>
      <c r="M659" s="534"/>
      <c r="N659" s="534"/>
      <c r="O659" s="532"/>
      <c r="P659" s="532"/>
    </row>
    <row r="660" spans="1:16" ht="21.75" customHeight="1" x14ac:dyDescent="0.3">
      <c r="A660" s="525"/>
      <c r="B660" s="526"/>
      <c r="C660" s="526"/>
      <c r="D660" s="526"/>
      <c r="E660" s="526"/>
      <c r="F660" s="526"/>
      <c r="G660" s="526"/>
      <c r="H660" s="529" t="s">
        <v>122</v>
      </c>
      <c r="I660" s="550"/>
      <c r="J660" s="543">
        <f ca="1">IFERROR(__xludf.DUMMYFUNCTION("IMPORTRANGE(""https://docs.google.com/spreadsheets/d/1IYY_tgx_IHuhSq3AJ5eI5OnqOPBNLWSHKh2a30DoXe8/edit?usp=sharing"",""พัทลุง!J555"")"),0)</f>
        <v>0</v>
      </c>
      <c r="K660" s="548"/>
      <c r="L660" s="534"/>
      <c r="M660" s="534"/>
      <c r="N660" s="534"/>
      <c r="O660" s="532"/>
      <c r="P660" s="532"/>
    </row>
    <row r="661" spans="1:16" ht="21.75" customHeight="1" x14ac:dyDescent="0.3">
      <c r="A661" s="525"/>
      <c r="B661" s="526"/>
      <c r="C661" s="526"/>
      <c r="D661" s="526"/>
      <c r="E661" s="526"/>
      <c r="F661" s="598" t="s">
        <v>252</v>
      </c>
      <c r="G661" s="575"/>
      <c r="H661" s="529" t="s">
        <v>37</v>
      </c>
      <c r="I661" s="550"/>
      <c r="J661" s="547">
        <f ca="1">IFERROR(__xludf.DUMMYFUNCTION("IMPORTRANGE(""https://docs.google.com/spreadsheets/d/1IYY_tgx_IHuhSq3AJ5eI5OnqOPBNLWSHKh2a30DoXe8/edit?usp=sharing"",""พัทลุง!J556"")"),0)</f>
        <v>0</v>
      </c>
      <c r="K661" s="548"/>
      <c r="L661" s="535">
        <f ca="1">IFERROR(__xludf.DUMMYFUNCTION("IMPORTRANGE(""https://docs.google.com/spreadsheets/d/1IYY_tgx_IHuhSq3AJ5eI5OnqOPBNLWSHKh2a30DoXe8/edit?usp=sharing"",""พัทลุง!L556"")"),0)</f>
        <v>0</v>
      </c>
      <c r="M661" s="534"/>
      <c r="N661" s="549">
        <f ca="1">IFERROR(__xludf.DUMMYFUNCTION("IMPORTRANGE(""https://docs.google.com/spreadsheets/d/1IYY_tgx_IHuhSq3AJ5eI5OnqOPBNLWSHKh2a30DoXe8/edit?usp=sharing"",""พัทลุง!M556"")"),0)</f>
        <v>0</v>
      </c>
      <c r="O661" s="548">
        <f ca="1">IF(L661&gt;0,N661*100/L661,0)</f>
        <v>0</v>
      </c>
      <c r="P661" s="548"/>
    </row>
    <row r="662" spans="1:16" ht="21.75" customHeight="1" x14ac:dyDescent="0.3">
      <c r="A662" s="525"/>
      <c r="B662" s="526"/>
      <c r="C662" s="526"/>
      <c r="D662" s="526"/>
      <c r="E662" s="526"/>
      <c r="F662" s="526"/>
      <c r="G662" s="526"/>
      <c r="H662" s="529" t="s">
        <v>36</v>
      </c>
      <c r="I662" s="550"/>
      <c r="J662" s="547">
        <f ca="1">IFERROR(__xludf.DUMMYFUNCTION("IMPORTRANGE(""https://docs.google.com/spreadsheets/d/1IYY_tgx_IHuhSq3AJ5eI5OnqOPBNLWSHKh2a30DoXe8/edit?usp=sharing"",""พัทลุง!J557"")"),0)</f>
        <v>0</v>
      </c>
      <c r="K662" s="548"/>
      <c r="L662" s="534"/>
      <c r="M662" s="534"/>
      <c r="N662" s="534"/>
      <c r="O662" s="532"/>
      <c r="P662" s="532"/>
    </row>
    <row r="663" spans="1:16" ht="21.75" customHeight="1" x14ac:dyDescent="0.3">
      <c r="A663" s="525"/>
      <c r="B663" s="526"/>
      <c r="C663" s="526"/>
      <c r="D663" s="526"/>
      <c r="E663" s="526"/>
      <c r="F663" s="526"/>
      <c r="G663" s="526"/>
      <c r="H663" s="529" t="s">
        <v>122</v>
      </c>
      <c r="I663" s="546">
        <f ca="1">IFERROR(__xludf.DUMMYFUNCTION("IMPORTRANGE(""https://docs.google.com/spreadsheets/d/1IYY_tgx_IHuhSq3AJ5eI5OnqOPBNLWSHKh2a30DoXe8/edit?usp=sharing"",""พัทลุง!I558"")"),0)</f>
        <v>0</v>
      </c>
      <c r="J663" s="547">
        <f ca="1">IFERROR(__xludf.DUMMYFUNCTION("IMPORTRANGE(""https://docs.google.com/spreadsheets/d/1IYY_tgx_IHuhSq3AJ5eI5OnqOPBNLWSHKh2a30DoXe8/edit?usp=sharing"",""พัทลุง!J558"")"),0)</f>
        <v>0</v>
      </c>
      <c r="K663" s="548">
        <f ca="1">IF(I663&gt;0,J663*100/I663,0)</f>
        <v>0</v>
      </c>
      <c r="L663" s="534"/>
      <c r="M663" s="534"/>
      <c r="N663" s="534"/>
      <c r="O663" s="532"/>
      <c r="P663" s="532"/>
    </row>
    <row r="664" spans="1:16" ht="21.75" customHeight="1" x14ac:dyDescent="0.3">
      <c r="A664" s="525"/>
      <c r="B664" s="526"/>
      <c r="C664" s="526"/>
      <c r="D664" s="526"/>
      <c r="E664" s="526"/>
      <c r="F664" s="598" t="s">
        <v>253</v>
      </c>
      <c r="G664" s="575"/>
      <c r="H664" s="531"/>
      <c r="I664" s="550"/>
      <c r="J664" s="551"/>
      <c r="K664" s="548"/>
      <c r="L664" s="534"/>
      <c r="M664" s="534"/>
      <c r="N664" s="544"/>
      <c r="O664" s="532"/>
      <c r="P664" s="532"/>
    </row>
    <row r="665" spans="1:16" ht="21.75" customHeight="1" x14ac:dyDescent="0.3">
      <c r="A665" s="525"/>
      <c r="B665" s="526"/>
      <c r="C665" s="526"/>
      <c r="D665" s="526"/>
      <c r="E665" s="526"/>
      <c r="F665" s="526"/>
      <c r="G665" s="528" t="s">
        <v>254</v>
      </c>
      <c r="H665" s="529" t="s">
        <v>37</v>
      </c>
      <c r="I665" s="546">
        <f ca="1">IFERROR(__xludf.DUMMYFUNCTION("IMPORTRANGE(""https://docs.google.com/spreadsheets/d/1IYY_tgx_IHuhSq3AJ5eI5OnqOPBNLWSHKh2a30DoXe8/edit?usp=sharing"",""พัทลุง!I560"")"),0)</f>
        <v>0</v>
      </c>
      <c r="J665" s="547">
        <f ca="1">IFERROR(__xludf.DUMMYFUNCTION("IMPORTRANGE(""https://docs.google.com/spreadsheets/d/1IYY_tgx_IHuhSq3AJ5eI5OnqOPBNLWSHKh2a30DoXe8/edit?usp=sharing"",""พัทลุง!J560"")"),0)</f>
        <v>0</v>
      </c>
      <c r="K665" s="548">
        <f ca="1">IF(I665&gt;0,J665*100/I665,0)</f>
        <v>0</v>
      </c>
      <c r="L665" s="535">
        <f ca="1">IFERROR(__xludf.DUMMYFUNCTION("IMPORTRANGE(""https://docs.google.com/spreadsheets/d/1IYY_tgx_IHuhSq3AJ5eI5OnqOPBNLWSHKh2a30DoXe8/edit?usp=sharing"",""พัทลุง!L560"")"),0)</f>
        <v>0</v>
      </c>
      <c r="M665" s="534"/>
      <c r="N665" s="549">
        <f ca="1">IFERROR(__xludf.DUMMYFUNCTION("IMPORTRANGE(""https://docs.google.com/spreadsheets/d/1IYY_tgx_IHuhSq3AJ5eI5OnqOPBNLWSHKh2a30DoXe8/edit?usp=sharing"",""พัทลุง!M560"")"),0)</f>
        <v>0</v>
      </c>
      <c r="O665" s="548">
        <f ca="1">IF(L665&gt;0,N665*100/L665,0)</f>
        <v>0</v>
      </c>
      <c r="P665" s="548"/>
    </row>
    <row r="666" spans="1:16" ht="21.75" customHeight="1" x14ac:dyDescent="0.3">
      <c r="A666" s="525"/>
      <c r="B666" s="526"/>
      <c r="C666" s="526"/>
      <c r="D666" s="526"/>
      <c r="E666" s="526"/>
      <c r="F666" s="526"/>
      <c r="G666" s="526"/>
      <c r="H666" s="529" t="s">
        <v>36</v>
      </c>
      <c r="I666" s="550"/>
      <c r="J666" s="547">
        <f ca="1">IFERROR(__xludf.DUMMYFUNCTION("IMPORTRANGE(""https://docs.google.com/spreadsheets/d/1IYY_tgx_IHuhSq3AJ5eI5OnqOPBNLWSHKh2a30DoXe8/edit?usp=sharing"",""พัทลุง!J561"")"),0)</f>
        <v>0</v>
      </c>
      <c r="K666" s="548"/>
      <c r="L666" s="534"/>
      <c r="M666" s="534"/>
      <c r="N666" s="534"/>
      <c r="O666" s="532"/>
      <c r="P666" s="532"/>
    </row>
    <row r="667" spans="1:16" ht="21.75" customHeight="1" x14ac:dyDescent="0.3">
      <c r="A667" s="525"/>
      <c r="B667" s="526"/>
      <c r="C667" s="526"/>
      <c r="D667" s="526"/>
      <c r="E667" s="526"/>
      <c r="F667" s="526"/>
      <c r="G667" s="526"/>
      <c r="H667" s="529" t="s">
        <v>122</v>
      </c>
      <c r="I667" s="550"/>
      <c r="J667" s="547">
        <f ca="1">IFERROR(__xludf.DUMMYFUNCTION("IMPORTRANGE(""https://docs.google.com/spreadsheets/d/1IYY_tgx_IHuhSq3AJ5eI5OnqOPBNLWSHKh2a30DoXe8/edit?usp=sharing"",""พัทลุง!J562"")"),0)</f>
        <v>0</v>
      </c>
      <c r="K667" s="548"/>
      <c r="L667" s="534"/>
      <c r="M667" s="534"/>
      <c r="N667" s="534"/>
      <c r="O667" s="532"/>
      <c r="P667" s="532"/>
    </row>
    <row r="668" spans="1:16" ht="21.75" customHeight="1" x14ac:dyDescent="0.3">
      <c r="A668" s="525"/>
      <c r="B668" s="526"/>
      <c r="C668" s="526"/>
      <c r="D668" s="526"/>
      <c r="E668" s="526"/>
      <c r="F668" s="526"/>
      <c r="G668" s="528" t="s">
        <v>255</v>
      </c>
      <c r="H668" s="529" t="s">
        <v>37</v>
      </c>
      <c r="I668" s="546">
        <f ca="1">IFERROR(__xludf.DUMMYFUNCTION("IMPORTRANGE(""https://docs.google.com/spreadsheets/d/1IYY_tgx_IHuhSq3AJ5eI5OnqOPBNLWSHKh2a30DoXe8/edit?usp=sharing"",""พัทลุง!I563"")"),0)</f>
        <v>0</v>
      </c>
      <c r="J668" s="547">
        <f ca="1">IFERROR(__xludf.DUMMYFUNCTION("IMPORTRANGE(""https://docs.google.com/spreadsheets/d/1IYY_tgx_IHuhSq3AJ5eI5OnqOPBNLWSHKh2a30DoXe8/edit?usp=sharing"",""พัทลุง!J563"")"),0)</f>
        <v>0</v>
      </c>
      <c r="K668" s="548">
        <f ca="1">IF(I668&gt;0,J668*100/I668,0)</f>
        <v>0</v>
      </c>
      <c r="L668" s="535">
        <f ca="1">IFERROR(__xludf.DUMMYFUNCTION("IMPORTRANGE(""https://docs.google.com/spreadsheets/d/1IYY_tgx_IHuhSq3AJ5eI5OnqOPBNLWSHKh2a30DoXe8/edit?usp=sharing"",""พัทลุง!L563"")"),0)</f>
        <v>0</v>
      </c>
      <c r="M668" s="534"/>
      <c r="N668" s="549">
        <f ca="1">IFERROR(__xludf.DUMMYFUNCTION("IMPORTRANGE(""https://docs.google.com/spreadsheets/d/1IYY_tgx_IHuhSq3AJ5eI5OnqOPBNLWSHKh2a30DoXe8/edit?usp=sharing"",""พัทลุง!M563"")"),0)</f>
        <v>0</v>
      </c>
      <c r="O668" s="548">
        <f ca="1">IF(L668&gt;0,N668*100/L668,0)</f>
        <v>0</v>
      </c>
      <c r="P668" s="548"/>
    </row>
    <row r="669" spans="1:16" ht="21.75" customHeight="1" x14ac:dyDescent="0.3">
      <c r="A669" s="525"/>
      <c r="B669" s="526"/>
      <c r="C669" s="526"/>
      <c r="D669" s="526"/>
      <c r="E669" s="526"/>
      <c r="F669" s="526"/>
      <c r="G669" s="526"/>
      <c r="H669" s="529" t="s">
        <v>36</v>
      </c>
      <c r="I669" s="550"/>
      <c r="J669" s="547">
        <f ca="1">IFERROR(__xludf.DUMMYFUNCTION("IMPORTRANGE(""https://docs.google.com/spreadsheets/d/1IYY_tgx_IHuhSq3AJ5eI5OnqOPBNLWSHKh2a30DoXe8/edit?usp=sharing"",""พัทลุง!J564"")"),0)</f>
        <v>0</v>
      </c>
      <c r="K669" s="548"/>
      <c r="L669" s="534"/>
      <c r="M669" s="534"/>
      <c r="N669" s="534"/>
      <c r="O669" s="532"/>
      <c r="P669" s="532"/>
    </row>
    <row r="670" spans="1:16" ht="21.75" customHeight="1" x14ac:dyDescent="0.3">
      <c r="A670" s="525"/>
      <c r="B670" s="526"/>
      <c r="C670" s="526"/>
      <c r="D670" s="526"/>
      <c r="E670" s="526"/>
      <c r="F670" s="526"/>
      <c r="G670" s="526"/>
      <c r="H670" s="529" t="s">
        <v>122</v>
      </c>
      <c r="I670" s="550"/>
      <c r="J670" s="547">
        <f ca="1">IFERROR(__xludf.DUMMYFUNCTION("IMPORTRANGE(""https://docs.google.com/spreadsheets/d/1IYY_tgx_IHuhSq3AJ5eI5OnqOPBNLWSHKh2a30DoXe8/edit?usp=sharing"",""พัทลุง!J565"")"),0)</f>
        <v>0</v>
      </c>
      <c r="K670" s="548"/>
      <c r="L670" s="534"/>
      <c r="M670" s="534"/>
      <c r="N670" s="534"/>
      <c r="O670" s="532"/>
      <c r="P670" s="532"/>
    </row>
    <row r="671" spans="1:16" ht="21.75" customHeight="1" x14ac:dyDescent="0.3">
      <c r="A671" s="525"/>
      <c r="B671" s="526"/>
      <c r="C671" s="526"/>
      <c r="D671" s="526"/>
      <c r="E671" s="526"/>
      <c r="F671" s="598" t="s">
        <v>256</v>
      </c>
      <c r="G671" s="575"/>
      <c r="H671" s="529" t="s">
        <v>122</v>
      </c>
      <c r="I671" s="546">
        <f ca="1">IFERROR(__xludf.DUMMYFUNCTION("IMPORTRANGE(""https://docs.google.com/spreadsheets/d/1IYY_tgx_IHuhSq3AJ5eI5OnqOPBNLWSHKh2a30DoXe8/edit?usp=sharing"",""พัทลุง!I566"")"),0)</f>
        <v>0</v>
      </c>
      <c r="J671" s="547">
        <f ca="1">J674+J677</f>
        <v>0</v>
      </c>
      <c r="K671" s="548">
        <f ca="1">IF(I671&gt;0,J671*100/I671,0)</f>
        <v>0</v>
      </c>
      <c r="L671" s="535">
        <f ca="1">IFERROR(__xludf.DUMMYFUNCTION("IMPORTRANGE(""https://docs.google.com/spreadsheets/d/1IYY_tgx_IHuhSq3AJ5eI5OnqOPBNLWSHKh2a30DoXe8/edit?usp=sharing"",""พัทลุง!L566"")"),0)</f>
        <v>0</v>
      </c>
      <c r="M671" s="534"/>
      <c r="N671" s="549">
        <f ca="1">IFERROR(__xludf.DUMMYFUNCTION("IMPORTRANGE(""https://docs.google.com/spreadsheets/d/1IYY_tgx_IHuhSq3AJ5eI5OnqOPBNLWSHKh2a30DoXe8/edit?usp=sharing"",""พัทลุง!M566"")"),0)</f>
        <v>0</v>
      </c>
      <c r="O671" s="548">
        <f ca="1">IF(L671&gt;0,N671*100/L671,0)</f>
        <v>0</v>
      </c>
      <c r="P671" s="548"/>
    </row>
    <row r="672" spans="1:16" ht="21.75" customHeight="1" x14ac:dyDescent="0.3">
      <c r="A672" s="525"/>
      <c r="B672" s="526"/>
      <c r="C672" s="526"/>
      <c r="D672" s="526"/>
      <c r="E672" s="526"/>
      <c r="F672" s="526"/>
      <c r="G672" s="528" t="s">
        <v>257</v>
      </c>
      <c r="H672" s="529" t="s">
        <v>37</v>
      </c>
      <c r="I672" s="550"/>
      <c r="J672" s="543">
        <f ca="1">IFERROR(__xludf.DUMMYFUNCTION("IMPORTRANGE(""https://docs.google.com/spreadsheets/d/1IYY_tgx_IHuhSq3AJ5eI5OnqOPBNLWSHKh2a30DoXe8/edit?usp=sharing"",""พัทลุง!J567"")"),0)</f>
        <v>0</v>
      </c>
      <c r="K672" s="548"/>
      <c r="L672" s="534"/>
      <c r="M672" s="534"/>
      <c r="N672" s="534"/>
      <c r="O672" s="532"/>
      <c r="P672" s="532"/>
    </row>
    <row r="673" spans="1:16" ht="21.75" customHeight="1" x14ac:dyDescent="0.3">
      <c r="A673" s="525"/>
      <c r="B673" s="526"/>
      <c r="C673" s="526"/>
      <c r="D673" s="526"/>
      <c r="E673" s="526"/>
      <c r="F673" s="526"/>
      <c r="G673" s="526"/>
      <c r="H673" s="529" t="s">
        <v>36</v>
      </c>
      <c r="I673" s="550"/>
      <c r="J673" s="543">
        <f ca="1">IFERROR(__xludf.DUMMYFUNCTION("IMPORTRANGE(""https://docs.google.com/spreadsheets/d/1IYY_tgx_IHuhSq3AJ5eI5OnqOPBNLWSHKh2a30DoXe8/edit?usp=sharing"",""พัทลุง!J568"")"),0)</f>
        <v>0</v>
      </c>
      <c r="K673" s="548"/>
      <c r="L673" s="534"/>
      <c r="M673" s="534"/>
      <c r="N673" s="534"/>
      <c r="O673" s="532"/>
      <c r="P673" s="532"/>
    </row>
    <row r="674" spans="1:16" ht="21.75" customHeight="1" x14ac:dyDescent="0.3">
      <c r="A674" s="525"/>
      <c r="B674" s="526"/>
      <c r="C674" s="526"/>
      <c r="D674" s="526"/>
      <c r="E674" s="526"/>
      <c r="F674" s="526"/>
      <c r="G674" s="526"/>
      <c r="H674" s="529" t="s">
        <v>122</v>
      </c>
      <c r="I674" s="550"/>
      <c r="J674" s="543">
        <f ca="1">IFERROR(__xludf.DUMMYFUNCTION("IMPORTRANGE(""https://docs.google.com/spreadsheets/d/1IYY_tgx_IHuhSq3AJ5eI5OnqOPBNLWSHKh2a30DoXe8/edit?usp=sharing"",""พัทลุง!J569"")"),0)</f>
        <v>0</v>
      </c>
      <c r="K674" s="548"/>
      <c r="L674" s="534"/>
      <c r="M674" s="534"/>
      <c r="N674" s="534"/>
      <c r="O674" s="532"/>
      <c r="P674" s="532"/>
    </row>
    <row r="675" spans="1:16" ht="21.75" customHeight="1" x14ac:dyDescent="0.3">
      <c r="A675" s="525"/>
      <c r="B675" s="526"/>
      <c r="C675" s="526"/>
      <c r="D675" s="526"/>
      <c r="E675" s="526"/>
      <c r="F675" s="526"/>
      <c r="G675" s="528" t="s">
        <v>258</v>
      </c>
      <c r="H675" s="529" t="s">
        <v>37</v>
      </c>
      <c r="I675" s="550"/>
      <c r="J675" s="543">
        <f ca="1">IFERROR(__xludf.DUMMYFUNCTION("IMPORTRANGE(""https://docs.google.com/spreadsheets/d/1IYY_tgx_IHuhSq3AJ5eI5OnqOPBNLWSHKh2a30DoXe8/edit?usp=sharing"",""พัทลุง!J570"")"),0)</f>
        <v>0</v>
      </c>
      <c r="K675" s="548"/>
      <c r="L675" s="534"/>
      <c r="M675" s="534"/>
      <c r="N675" s="534"/>
      <c r="O675" s="532"/>
      <c r="P675" s="532"/>
    </row>
    <row r="676" spans="1:16" ht="21.75" customHeight="1" x14ac:dyDescent="0.3">
      <c r="A676" s="525"/>
      <c r="B676" s="526"/>
      <c r="C676" s="526"/>
      <c r="D676" s="526"/>
      <c r="E676" s="526"/>
      <c r="F676" s="526"/>
      <c r="G676" s="526"/>
      <c r="H676" s="529" t="s">
        <v>36</v>
      </c>
      <c r="I676" s="550"/>
      <c r="J676" s="543">
        <f ca="1">IFERROR(__xludf.DUMMYFUNCTION("IMPORTRANGE(""https://docs.google.com/spreadsheets/d/1IYY_tgx_IHuhSq3AJ5eI5OnqOPBNLWSHKh2a30DoXe8/edit?usp=sharing"",""พัทลุง!J571"")"),0)</f>
        <v>0</v>
      </c>
      <c r="K676" s="548"/>
      <c r="L676" s="534"/>
      <c r="M676" s="534"/>
      <c r="N676" s="534"/>
      <c r="O676" s="532"/>
      <c r="P676" s="532"/>
    </row>
    <row r="677" spans="1:16" ht="21.75" customHeight="1" x14ac:dyDescent="0.3">
      <c r="A677" s="552"/>
      <c r="B677" s="553" t="s">
        <v>259</v>
      </c>
      <c r="C677" s="554"/>
      <c r="D677" s="554"/>
      <c r="E677" s="554"/>
      <c r="F677" s="554"/>
      <c r="G677" s="554"/>
      <c r="H677" s="555" t="s">
        <v>122</v>
      </c>
      <c r="I677" s="556"/>
      <c r="J677" s="557">
        <f ca="1">IFERROR(__xludf.DUMMYFUNCTION("IMPORTRANGE(""https://docs.google.com/spreadsheets/d/1IYY_tgx_IHuhSq3AJ5eI5OnqOPBNLWSHKh2a30DoXe8/edit?usp=sharing"",""พัทลุง!J572"")"),0)</f>
        <v>0</v>
      </c>
      <c r="K677" s="558"/>
      <c r="L677" s="559"/>
      <c r="M677" s="559"/>
      <c r="N677" s="559"/>
      <c r="O677" s="558"/>
      <c r="P677" s="558"/>
    </row>
    <row r="678" spans="1:16" ht="21.75" customHeight="1" x14ac:dyDescent="0.25">
      <c r="A678" s="560"/>
      <c r="B678" s="560"/>
      <c r="C678" s="560"/>
      <c r="D678" s="560"/>
      <c r="E678" s="561"/>
      <c r="F678" s="561"/>
      <c r="G678" s="561"/>
      <c r="H678" s="561"/>
      <c r="I678" s="561"/>
      <c r="J678" s="561"/>
      <c r="K678" s="562"/>
      <c r="L678" s="563"/>
      <c r="M678" s="563"/>
      <c r="N678" s="563"/>
      <c r="O678" s="564"/>
      <c r="P678" s="564"/>
    </row>
    <row r="679" spans="1:16" ht="21.75" customHeight="1" x14ac:dyDescent="0.25">
      <c r="A679" s="560"/>
      <c r="B679" s="560"/>
      <c r="C679" s="560"/>
      <c r="D679" s="560"/>
      <c r="E679" s="561"/>
      <c r="F679" s="561"/>
      <c r="G679" s="561"/>
      <c r="H679" s="561"/>
      <c r="I679" s="561"/>
      <c r="J679" s="561"/>
      <c r="K679" s="562"/>
      <c r="L679" s="563"/>
      <c r="M679" s="563"/>
      <c r="N679" s="563"/>
      <c r="O679" s="564"/>
      <c r="P679" s="564"/>
    </row>
    <row r="680" spans="1:16" ht="21.75" customHeight="1" x14ac:dyDescent="0.25">
      <c r="A680" s="560"/>
      <c r="B680" s="560"/>
      <c r="C680" s="560"/>
      <c r="D680" s="560"/>
      <c r="E680" s="561"/>
      <c r="F680" s="561"/>
      <c r="G680" s="561"/>
      <c r="H680" s="561"/>
      <c r="I680" s="561"/>
      <c r="J680" s="561"/>
      <c r="K680" s="562"/>
      <c r="L680" s="563"/>
      <c r="M680" s="563"/>
      <c r="N680" s="563"/>
      <c r="O680" s="564"/>
      <c r="P680" s="564"/>
    </row>
    <row r="681" spans="1:16" ht="21.75" customHeight="1" x14ac:dyDescent="0.25">
      <c r="A681" s="560"/>
      <c r="B681" s="560"/>
      <c r="C681" s="560"/>
      <c r="D681" s="560"/>
      <c r="E681" s="561"/>
      <c r="F681" s="561"/>
      <c r="G681" s="561"/>
      <c r="H681" s="561"/>
      <c r="I681" s="561"/>
      <c r="J681" s="561"/>
      <c r="K681" s="562"/>
      <c r="L681" s="563"/>
      <c r="M681" s="563"/>
      <c r="N681" s="563"/>
      <c r="O681" s="564"/>
      <c r="P681" s="564"/>
    </row>
    <row r="682" spans="1:16" ht="21.75" customHeight="1" x14ac:dyDescent="0.25">
      <c r="A682" s="560"/>
      <c r="B682" s="560"/>
      <c r="C682" s="560"/>
      <c r="D682" s="560"/>
      <c r="E682" s="561"/>
      <c r="F682" s="561"/>
      <c r="G682" s="561"/>
      <c r="H682" s="561"/>
      <c r="I682" s="561"/>
      <c r="J682" s="561"/>
      <c r="K682" s="562"/>
      <c r="L682" s="563"/>
      <c r="M682" s="563"/>
      <c r="N682" s="563"/>
      <c r="O682" s="564"/>
      <c r="P682" s="564"/>
    </row>
    <row r="683" spans="1:16" ht="21.75" customHeight="1" x14ac:dyDescent="0.25">
      <c r="A683" s="560"/>
      <c r="B683" s="560"/>
      <c r="C683" s="560"/>
      <c r="D683" s="560"/>
      <c r="E683" s="561"/>
      <c r="F683" s="561"/>
      <c r="G683" s="561"/>
      <c r="H683" s="561"/>
      <c r="I683" s="561"/>
      <c r="J683" s="561"/>
      <c r="K683" s="562"/>
      <c r="L683" s="563"/>
      <c r="M683" s="563"/>
      <c r="N683" s="563"/>
      <c r="O683" s="564"/>
      <c r="P683" s="564"/>
    </row>
    <row r="684" spans="1:16" ht="21.75" customHeight="1" x14ac:dyDescent="0.25">
      <c r="A684" s="560"/>
      <c r="B684" s="560"/>
      <c r="C684" s="560"/>
      <c r="D684" s="560"/>
      <c r="E684" s="561"/>
      <c r="F684" s="561"/>
      <c r="G684" s="561"/>
      <c r="H684" s="561"/>
      <c r="I684" s="561"/>
      <c r="J684" s="561"/>
      <c r="K684" s="562"/>
      <c r="L684" s="563"/>
      <c r="M684" s="563"/>
      <c r="N684" s="563"/>
      <c r="O684" s="564"/>
      <c r="P684" s="564"/>
    </row>
    <row r="685" spans="1:16" ht="21.75" customHeight="1" x14ac:dyDescent="0.25">
      <c r="A685" s="560"/>
      <c r="B685" s="560"/>
      <c r="C685" s="560"/>
      <c r="D685" s="560"/>
      <c r="E685" s="561"/>
      <c r="F685" s="561"/>
      <c r="G685" s="561"/>
      <c r="H685" s="561"/>
      <c r="I685" s="561"/>
      <c r="J685" s="561"/>
      <c r="K685" s="562"/>
      <c r="L685" s="563"/>
      <c r="M685" s="563"/>
      <c r="N685" s="563"/>
      <c r="O685" s="564"/>
      <c r="P685" s="564"/>
    </row>
    <row r="686" spans="1:16" ht="21.75" customHeight="1" x14ac:dyDescent="0.25">
      <c r="A686" s="560"/>
      <c r="B686" s="560"/>
      <c r="C686" s="560"/>
      <c r="D686" s="560"/>
      <c r="E686" s="561"/>
      <c r="F686" s="561"/>
      <c r="G686" s="561"/>
      <c r="H686" s="561"/>
      <c r="I686" s="561"/>
      <c r="J686" s="561"/>
      <c r="K686" s="562"/>
      <c r="L686" s="563"/>
      <c r="M686" s="563"/>
      <c r="N686" s="563"/>
      <c r="O686" s="564"/>
      <c r="P686" s="564"/>
    </row>
    <row r="687" spans="1:16" ht="21.75" customHeight="1" x14ac:dyDescent="0.25">
      <c r="A687" s="560"/>
      <c r="B687" s="560"/>
      <c r="C687" s="560"/>
      <c r="D687" s="560"/>
      <c r="E687" s="561"/>
      <c r="F687" s="561"/>
      <c r="G687" s="561"/>
      <c r="H687" s="561"/>
      <c r="I687" s="561"/>
      <c r="J687" s="561"/>
      <c r="K687" s="562"/>
      <c r="L687" s="563"/>
      <c r="M687" s="563"/>
      <c r="N687" s="563"/>
      <c r="O687" s="564"/>
      <c r="P687" s="564"/>
    </row>
    <row r="688" spans="1:16" ht="21.75" customHeight="1" x14ac:dyDescent="0.25">
      <c r="A688" s="560"/>
      <c r="B688" s="560"/>
      <c r="C688" s="560"/>
      <c r="D688" s="560"/>
      <c r="E688" s="561"/>
      <c r="F688" s="561"/>
      <c r="G688" s="561"/>
      <c r="H688" s="561"/>
      <c r="I688" s="561"/>
      <c r="J688" s="561"/>
      <c r="K688" s="562"/>
      <c r="L688" s="563"/>
      <c r="M688" s="563"/>
      <c r="N688" s="563"/>
      <c r="O688" s="564"/>
      <c r="P688" s="564"/>
    </row>
    <row r="689" spans="1:16" ht="21.75" customHeight="1" x14ac:dyDescent="0.25">
      <c r="A689" s="560"/>
      <c r="B689" s="560"/>
      <c r="C689" s="560"/>
      <c r="D689" s="560"/>
      <c r="E689" s="561"/>
      <c r="F689" s="561"/>
      <c r="G689" s="561"/>
      <c r="H689" s="561"/>
      <c r="I689" s="561"/>
      <c r="J689" s="561"/>
      <c r="K689" s="562"/>
      <c r="L689" s="563"/>
      <c r="M689" s="563"/>
      <c r="N689" s="563"/>
      <c r="O689" s="564"/>
      <c r="P689" s="564"/>
    </row>
    <row r="690" spans="1:16" ht="21.75" customHeight="1" x14ac:dyDescent="0.25">
      <c r="A690" s="560"/>
      <c r="B690" s="560"/>
      <c r="C690" s="560"/>
      <c r="D690" s="560"/>
      <c r="E690" s="561"/>
      <c r="F690" s="561"/>
      <c r="G690" s="561"/>
      <c r="H690" s="561"/>
      <c r="I690" s="561"/>
      <c r="J690" s="561"/>
      <c r="K690" s="562"/>
      <c r="L690" s="563"/>
      <c r="M690" s="563"/>
      <c r="N690" s="563"/>
      <c r="O690" s="564"/>
      <c r="P690" s="564"/>
    </row>
    <row r="691" spans="1:16" ht="21.75" customHeight="1" x14ac:dyDescent="0.25">
      <c r="A691" s="560"/>
      <c r="B691" s="560"/>
      <c r="C691" s="560"/>
      <c r="D691" s="560"/>
      <c r="E691" s="561"/>
      <c r="F691" s="561"/>
      <c r="G691" s="561"/>
      <c r="H691" s="561"/>
      <c r="I691" s="561"/>
      <c r="J691" s="561"/>
      <c r="K691" s="562"/>
      <c r="L691" s="563"/>
      <c r="M691" s="563"/>
      <c r="N691" s="563"/>
      <c r="O691" s="564"/>
      <c r="P691" s="564"/>
    </row>
    <row r="692" spans="1:16" ht="21.75" customHeight="1" x14ac:dyDescent="0.25">
      <c r="A692" s="560"/>
      <c r="B692" s="560"/>
      <c r="C692" s="560"/>
      <c r="D692" s="560"/>
      <c r="E692" s="561"/>
      <c r="F692" s="561"/>
      <c r="G692" s="561"/>
      <c r="H692" s="561"/>
      <c r="I692" s="561"/>
      <c r="J692" s="561"/>
      <c r="K692" s="562"/>
      <c r="L692" s="563"/>
      <c r="M692" s="563"/>
      <c r="N692" s="563"/>
      <c r="O692" s="564"/>
      <c r="P692" s="564"/>
    </row>
    <row r="693" spans="1:16" ht="21.75" customHeight="1" x14ac:dyDescent="0.25">
      <c r="A693" s="560"/>
      <c r="B693" s="560"/>
      <c r="C693" s="560"/>
      <c r="D693" s="560"/>
      <c r="E693" s="561"/>
      <c r="F693" s="561"/>
      <c r="G693" s="561"/>
      <c r="H693" s="561"/>
      <c r="I693" s="561"/>
      <c r="J693" s="561"/>
      <c r="K693" s="562"/>
      <c r="L693" s="563"/>
      <c r="M693" s="563"/>
      <c r="N693" s="563"/>
      <c r="O693" s="564"/>
      <c r="P693" s="564"/>
    </row>
    <row r="694" spans="1:16" ht="21.75" customHeight="1" x14ac:dyDescent="0.25">
      <c r="A694" s="560"/>
      <c r="B694" s="560"/>
      <c r="C694" s="560"/>
      <c r="D694" s="560"/>
      <c r="E694" s="561"/>
      <c r="F694" s="561"/>
      <c r="G694" s="561"/>
      <c r="H694" s="561"/>
      <c r="I694" s="561"/>
      <c r="J694" s="561"/>
      <c r="K694" s="562"/>
      <c r="L694" s="563"/>
      <c r="M694" s="563"/>
      <c r="N694" s="563"/>
      <c r="O694" s="564"/>
      <c r="P694" s="564"/>
    </row>
    <row r="695" spans="1:16" ht="21.75" customHeight="1" x14ac:dyDescent="0.25">
      <c r="A695" s="560"/>
      <c r="B695" s="560"/>
      <c r="C695" s="560"/>
      <c r="D695" s="560"/>
      <c r="E695" s="561"/>
      <c r="F695" s="561"/>
      <c r="G695" s="561"/>
      <c r="H695" s="561"/>
      <c r="I695" s="561"/>
      <c r="J695" s="561"/>
      <c r="K695" s="562"/>
      <c r="L695" s="563"/>
      <c r="M695" s="563"/>
      <c r="N695" s="563"/>
      <c r="O695" s="564"/>
      <c r="P695" s="564"/>
    </row>
    <row r="696" spans="1:16" ht="21.75" customHeight="1" x14ac:dyDescent="0.25">
      <c r="A696" s="560"/>
      <c r="B696" s="560"/>
      <c r="C696" s="560"/>
      <c r="D696" s="560"/>
      <c r="E696" s="561"/>
      <c r="F696" s="561"/>
      <c r="G696" s="561"/>
      <c r="H696" s="561"/>
      <c r="I696" s="561"/>
      <c r="J696" s="561"/>
      <c r="K696" s="562"/>
      <c r="L696" s="563"/>
      <c r="M696" s="563"/>
      <c r="N696" s="563"/>
      <c r="O696" s="564"/>
      <c r="P696" s="564"/>
    </row>
    <row r="697" spans="1:16" ht="21.75" customHeight="1" x14ac:dyDescent="0.25">
      <c r="A697" s="560"/>
      <c r="B697" s="560"/>
      <c r="C697" s="560"/>
      <c r="D697" s="560"/>
      <c r="E697" s="561"/>
      <c r="F697" s="561"/>
      <c r="G697" s="561"/>
      <c r="H697" s="561"/>
      <c r="I697" s="561"/>
      <c r="J697" s="561"/>
      <c r="K697" s="562"/>
      <c r="L697" s="563"/>
      <c r="M697" s="563"/>
      <c r="N697" s="563"/>
      <c r="O697" s="564"/>
      <c r="P697" s="564"/>
    </row>
    <row r="698" spans="1:16" ht="21.75" customHeight="1" x14ac:dyDescent="0.25">
      <c r="A698" s="560"/>
      <c r="B698" s="560"/>
      <c r="C698" s="560"/>
      <c r="D698" s="560"/>
      <c r="E698" s="561"/>
      <c r="F698" s="561"/>
      <c r="G698" s="561"/>
      <c r="H698" s="561"/>
      <c r="I698" s="561"/>
      <c r="J698" s="561"/>
      <c r="K698" s="562"/>
      <c r="L698" s="563"/>
      <c r="M698" s="563"/>
      <c r="N698" s="563"/>
      <c r="O698" s="564"/>
      <c r="P698" s="564"/>
    </row>
    <row r="699" spans="1:16" ht="21.75" customHeight="1" x14ac:dyDescent="0.25">
      <c r="A699" s="560"/>
      <c r="B699" s="560"/>
      <c r="C699" s="560"/>
      <c r="D699" s="560"/>
      <c r="E699" s="561"/>
      <c r="F699" s="561"/>
      <c r="G699" s="561"/>
      <c r="H699" s="561"/>
      <c r="I699" s="561"/>
      <c r="J699" s="561"/>
      <c r="K699" s="562"/>
      <c r="L699" s="563"/>
      <c r="M699" s="563"/>
      <c r="N699" s="563"/>
      <c r="O699" s="564"/>
      <c r="P699" s="564"/>
    </row>
    <row r="700" spans="1:16" ht="21.75" customHeight="1" x14ac:dyDescent="0.25">
      <c r="A700" s="560"/>
      <c r="B700" s="560"/>
      <c r="C700" s="560"/>
      <c r="D700" s="560"/>
      <c r="E700" s="561"/>
      <c r="F700" s="561"/>
      <c r="G700" s="561"/>
      <c r="H700" s="561"/>
      <c r="I700" s="561"/>
      <c r="J700" s="561"/>
      <c r="K700" s="562"/>
      <c r="L700" s="563"/>
      <c r="M700" s="563"/>
      <c r="N700" s="563"/>
      <c r="O700" s="564"/>
      <c r="P700" s="564"/>
    </row>
    <row r="701" spans="1:16" ht="21.75" customHeight="1" x14ac:dyDescent="0.25">
      <c r="A701" s="560"/>
      <c r="B701" s="560"/>
      <c r="C701" s="560"/>
      <c r="D701" s="560"/>
      <c r="E701" s="561"/>
      <c r="F701" s="561"/>
      <c r="G701" s="561"/>
      <c r="H701" s="561"/>
      <c r="I701" s="561"/>
      <c r="J701" s="561"/>
      <c r="K701" s="562"/>
      <c r="L701" s="563"/>
      <c r="M701" s="563"/>
      <c r="N701" s="563"/>
      <c r="O701" s="564"/>
      <c r="P701" s="564"/>
    </row>
    <row r="702" spans="1:16" ht="21.75" customHeight="1" x14ac:dyDescent="0.25">
      <c r="A702" s="560"/>
      <c r="B702" s="560"/>
      <c r="C702" s="560"/>
      <c r="D702" s="560"/>
      <c r="E702" s="561"/>
      <c r="F702" s="561"/>
      <c r="G702" s="561"/>
      <c r="H702" s="561"/>
      <c r="I702" s="561"/>
      <c r="J702" s="561"/>
      <c r="K702" s="562"/>
      <c r="L702" s="563"/>
      <c r="M702" s="563"/>
      <c r="N702" s="563"/>
      <c r="O702" s="564"/>
      <c r="P702" s="564"/>
    </row>
    <row r="703" spans="1:16" ht="21.75" customHeight="1" x14ac:dyDescent="0.25">
      <c r="A703" s="560"/>
      <c r="B703" s="560"/>
      <c r="C703" s="560"/>
      <c r="D703" s="560"/>
      <c r="E703" s="561"/>
      <c r="F703" s="561"/>
      <c r="G703" s="561"/>
      <c r="H703" s="561"/>
      <c r="I703" s="561"/>
      <c r="J703" s="561"/>
      <c r="K703" s="562"/>
      <c r="L703" s="563"/>
      <c r="M703" s="563"/>
      <c r="N703" s="563"/>
      <c r="O703" s="564"/>
      <c r="P703" s="564"/>
    </row>
    <row r="704" spans="1:16" ht="21.75" customHeight="1" x14ac:dyDescent="0.25">
      <c r="A704" s="560"/>
      <c r="B704" s="560"/>
      <c r="C704" s="560"/>
      <c r="D704" s="560"/>
      <c r="E704" s="561"/>
      <c r="F704" s="561"/>
      <c r="G704" s="561"/>
      <c r="H704" s="561"/>
      <c r="I704" s="561"/>
      <c r="J704" s="561"/>
      <c r="K704" s="562"/>
      <c r="L704" s="563"/>
      <c r="M704" s="563"/>
      <c r="N704" s="563"/>
      <c r="O704" s="564"/>
      <c r="P704" s="564"/>
    </row>
    <row r="705" spans="1:16" ht="21.75" customHeight="1" x14ac:dyDescent="0.25">
      <c r="A705" s="560"/>
      <c r="B705" s="560"/>
      <c r="C705" s="560"/>
      <c r="D705" s="560"/>
      <c r="E705" s="561"/>
      <c r="F705" s="561"/>
      <c r="G705" s="561"/>
      <c r="H705" s="561"/>
      <c r="I705" s="561"/>
      <c r="J705" s="561"/>
      <c r="K705" s="562"/>
      <c r="L705" s="563"/>
      <c r="M705" s="563"/>
      <c r="N705" s="563"/>
      <c r="O705" s="564"/>
      <c r="P705" s="564"/>
    </row>
    <row r="706" spans="1:16" ht="21.75" customHeight="1" x14ac:dyDescent="0.25">
      <c r="A706" s="560"/>
      <c r="B706" s="560"/>
      <c r="C706" s="560"/>
      <c r="D706" s="560"/>
      <c r="E706" s="561"/>
      <c r="F706" s="561"/>
      <c r="G706" s="561"/>
      <c r="H706" s="561"/>
      <c r="I706" s="561"/>
      <c r="J706" s="561"/>
      <c r="K706" s="562"/>
      <c r="L706" s="563"/>
      <c r="M706" s="563"/>
      <c r="N706" s="563"/>
      <c r="O706" s="564"/>
      <c r="P706" s="564"/>
    </row>
    <row r="707" spans="1:16" ht="21.75" customHeight="1" x14ac:dyDescent="0.25">
      <c r="A707" s="560"/>
      <c r="B707" s="560"/>
      <c r="C707" s="560"/>
      <c r="D707" s="560"/>
      <c r="E707" s="561"/>
      <c r="F707" s="561"/>
      <c r="G707" s="561"/>
      <c r="H707" s="561"/>
      <c r="I707" s="561"/>
      <c r="J707" s="561"/>
      <c r="K707" s="562"/>
      <c r="L707" s="563"/>
      <c r="M707" s="563"/>
      <c r="N707" s="563"/>
      <c r="O707" s="564"/>
      <c r="P707" s="564"/>
    </row>
    <row r="708" spans="1:16" ht="21.75" customHeight="1" x14ac:dyDescent="0.25">
      <c r="A708" s="560"/>
      <c r="B708" s="560"/>
      <c r="C708" s="560"/>
      <c r="D708" s="560"/>
      <c r="E708" s="561"/>
      <c r="F708" s="561"/>
      <c r="G708" s="561"/>
      <c r="H708" s="561"/>
      <c r="I708" s="561"/>
      <c r="J708" s="561"/>
      <c r="K708" s="562"/>
      <c r="L708" s="563"/>
      <c r="M708" s="563"/>
      <c r="N708" s="563"/>
      <c r="O708" s="564"/>
      <c r="P708" s="564"/>
    </row>
    <row r="709" spans="1:16" ht="21.75" customHeight="1" x14ac:dyDescent="0.25">
      <c r="A709" s="560"/>
      <c r="B709" s="560"/>
      <c r="C709" s="560"/>
      <c r="D709" s="560"/>
      <c r="E709" s="561"/>
      <c r="F709" s="561"/>
      <c r="G709" s="561"/>
      <c r="H709" s="561"/>
      <c r="I709" s="561"/>
      <c r="J709" s="561"/>
      <c r="K709" s="562"/>
      <c r="L709" s="563"/>
      <c r="M709" s="563"/>
      <c r="N709" s="563"/>
      <c r="O709" s="564"/>
      <c r="P709" s="564"/>
    </row>
    <row r="710" spans="1:16" ht="21.75" customHeight="1" x14ac:dyDescent="0.25">
      <c r="A710" s="560"/>
      <c r="B710" s="560"/>
      <c r="C710" s="560"/>
      <c r="D710" s="560"/>
      <c r="E710" s="561"/>
      <c r="F710" s="561"/>
      <c r="G710" s="561"/>
      <c r="H710" s="561"/>
      <c r="I710" s="561"/>
      <c r="J710" s="561"/>
      <c r="K710" s="562"/>
      <c r="L710" s="563"/>
      <c r="M710" s="563"/>
      <c r="N710" s="563"/>
      <c r="O710" s="564"/>
      <c r="P710" s="564"/>
    </row>
    <row r="711" spans="1:16" ht="21.75" customHeight="1" x14ac:dyDescent="0.25">
      <c r="A711" s="560"/>
      <c r="B711" s="560"/>
      <c r="C711" s="560"/>
      <c r="D711" s="560"/>
      <c r="E711" s="561"/>
      <c r="F711" s="561"/>
      <c r="G711" s="561"/>
      <c r="H711" s="561"/>
      <c r="I711" s="561"/>
      <c r="J711" s="561"/>
      <c r="K711" s="562"/>
      <c r="L711" s="563"/>
      <c r="M711" s="563"/>
      <c r="N711" s="563"/>
      <c r="O711" s="564"/>
      <c r="P711" s="564"/>
    </row>
    <row r="712" spans="1:16" ht="21.75" customHeight="1" x14ac:dyDescent="0.25">
      <c r="A712" s="560"/>
      <c r="B712" s="560"/>
      <c r="C712" s="560"/>
      <c r="D712" s="560"/>
      <c r="E712" s="561"/>
      <c r="F712" s="561"/>
      <c r="G712" s="561"/>
      <c r="H712" s="561"/>
      <c r="I712" s="561"/>
      <c r="J712" s="561"/>
      <c r="K712" s="562"/>
      <c r="L712" s="563"/>
      <c r="M712" s="563"/>
      <c r="N712" s="563"/>
      <c r="O712" s="564"/>
      <c r="P712" s="564"/>
    </row>
    <row r="713" spans="1:16" ht="21.75" customHeight="1" x14ac:dyDescent="0.25">
      <c r="A713" s="560"/>
      <c r="B713" s="560"/>
      <c r="C713" s="560"/>
      <c r="D713" s="560"/>
      <c r="E713" s="561"/>
      <c r="F713" s="561"/>
      <c r="G713" s="561"/>
      <c r="H713" s="561"/>
      <c r="I713" s="561"/>
      <c r="J713" s="561"/>
      <c r="K713" s="562"/>
      <c r="L713" s="563"/>
      <c r="M713" s="563"/>
      <c r="N713" s="563"/>
      <c r="O713" s="564"/>
      <c r="P713" s="564"/>
    </row>
    <row r="714" spans="1:16" ht="21.75" customHeight="1" x14ac:dyDescent="0.25">
      <c r="A714" s="560"/>
      <c r="B714" s="560"/>
      <c r="C714" s="560"/>
      <c r="D714" s="560"/>
      <c r="E714" s="561"/>
      <c r="F714" s="561"/>
      <c r="G714" s="561"/>
      <c r="H714" s="561"/>
      <c r="I714" s="561"/>
      <c r="J714" s="561"/>
      <c r="K714" s="562"/>
      <c r="L714" s="563"/>
      <c r="M714" s="563"/>
      <c r="N714" s="563"/>
      <c r="O714" s="564"/>
      <c r="P714" s="564"/>
    </row>
    <row r="715" spans="1:16" ht="21.75" customHeight="1" x14ac:dyDescent="0.25">
      <c r="A715" s="560"/>
      <c r="B715" s="560"/>
      <c r="C715" s="560"/>
      <c r="D715" s="560"/>
      <c r="E715" s="561"/>
      <c r="F715" s="561"/>
      <c r="G715" s="561"/>
      <c r="H715" s="561"/>
      <c r="I715" s="561"/>
      <c r="J715" s="561"/>
      <c r="K715" s="562"/>
      <c r="L715" s="563"/>
      <c r="M715" s="563"/>
      <c r="N715" s="563"/>
      <c r="O715" s="564"/>
      <c r="P715" s="564"/>
    </row>
    <row r="716" spans="1:16" ht="21.75" customHeight="1" x14ac:dyDescent="0.25">
      <c r="A716" s="560"/>
      <c r="B716" s="560"/>
      <c r="C716" s="560"/>
      <c r="D716" s="560"/>
      <c r="E716" s="561"/>
      <c r="F716" s="561"/>
      <c r="G716" s="561"/>
      <c r="H716" s="561"/>
      <c r="I716" s="561"/>
      <c r="J716" s="561"/>
      <c r="K716" s="562"/>
      <c r="L716" s="563"/>
      <c r="M716" s="563"/>
      <c r="N716" s="563"/>
      <c r="O716" s="564"/>
      <c r="P716" s="564"/>
    </row>
    <row r="717" spans="1:16" ht="21.75" customHeight="1" x14ac:dyDescent="0.25">
      <c r="A717" s="560"/>
      <c r="B717" s="560"/>
      <c r="C717" s="560"/>
      <c r="D717" s="560"/>
      <c r="E717" s="561"/>
      <c r="F717" s="561"/>
      <c r="G717" s="561"/>
      <c r="H717" s="561"/>
      <c r="I717" s="561"/>
      <c r="J717" s="561"/>
      <c r="K717" s="562"/>
      <c r="L717" s="563"/>
      <c r="M717" s="563"/>
      <c r="N717" s="563"/>
      <c r="O717" s="564"/>
      <c r="P717" s="564"/>
    </row>
    <row r="718" spans="1:16" ht="21.75" customHeight="1" x14ac:dyDescent="0.25">
      <c r="A718" s="560"/>
      <c r="B718" s="560"/>
      <c r="C718" s="560"/>
      <c r="D718" s="560"/>
      <c r="E718" s="561"/>
      <c r="F718" s="561"/>
      <c r="G718" s="561"/>
      <c r="H718" s="561"/>
      <c r="I718" s="561"/>
      <c r="J718" s="561"/>
      <c r="K718" s="562"/>
      <c r="L718" s="563"/>
      <c r="M718" s="563"/>
      <c r="N718" s="563"/>
      <c r="O718" s="564"/>
      <c r="P718" s="564"/>
    </row>
    <row r="719" spans="1:16" ht="21.75" customHeight="1" x14ac:dyDescent="0.25">
      <c r="A719" s="560"/>
      <c r="B719" s="560"/>
      <c r="C719" s="560"/>
      <c r="D719" s="560"/>
      <c r="E719" s="561"/>
      <c r="F719" s="561"/>
      <c r="G719" s="561"/>
      <c r="H719" s="561"/>
      <c r="I719" s="561"/>
      <c r="J719" s="561"/>
      <c r="K719" s="562"/>
      <c r="L719" s="563"/>
      <c r="M719" s="563"/>
      <c r="N719" s="563"/>
      <c r="O719" s="564"/>
      <c r="P719" s="564"/>
    </row>
    <row r="720" spans="1:16" ht="21.75" customHeight="1" x14ac:dyDescent="0.25">
      <c r="A720" s="560"/>
      <c r="B720" s="560"/>
      <c r="C720" s="560"/>
      <c r="D720" s="560"/>
      <c r="E720" s="561"/>
      <c r="F720" s="561"/>
      <c r="G720" s="561"/>
      <c r="H720" s="561"/>
      <c r="I720" s="561"/>
      <c r="J720" s="561"/>
      <c r="K720" s="562"/>
      <c r="L720" s="563"/>
      <c r="M720" s="563"/>
      <c r="N720" s="563"/>
      <c r="O720" s="564"/>
      <c r="P720" s="564"/>
    </row>
    <row r="721" spans="1:16" ht="21.75" customHeight="1" x14ac:dyDescent="0.25">
      <c r="A721" s="560"/>
      <c r="B721" s="560"/>
      <c r="C721" s="560"/>
      <c r="D721" s="560"/>
      <c r="E721" s="561"/>
      <c r="F721" s="561"/>
      <c r="G721" s="561"/>
      <c r="H721" s="561"/>
      <c r="I721" s="561"/>
      <c r="J721" s="561"/>
      <c r="K721" s="562"/>
      <c r="L721" s="563"/>
      <c r="M721" s="563"/>
      <c r="N721" s="563"/>
      <c r="O721" s="564"/>
      <c r="P721" s="564"/>
    </row>
    <row r="722" spans="1:16" ht="21.75" customHeight="1" x14ac:dyDescent="0.25">
      <c r="A722" s="560"/>
      <c r="B722" s="560"/>
      <c r="C722" s="560"/>
      <c r="D722" s="560"/>
      <c r="E722" s="561"/>
      <c r="F722" s="561"/>
      <c r="G722" s="561"/>
      <c r="H722" s="561"/>
      <c r="I722" s="561"/>
      <c r="J722" s="561"/>
      <c r="K722" s="562"/>
      <c r="L722" s="563"/>
      <c r="M722" s="563"/>
      <c r="N722" s="563"/>
      <c r="O722" s="564"/>
      <c r="P722" s="564"/>
    </row>
    <row r="723" spans="1:16" ht="21.75" customHeight="1" x14ac:dyDescent="0.25">
      <c r="A723" s="560"/>
      <c r="B723" s="560"/>
      <c r="C723" s="560"/>
      <c r="D723" s="560"/>
      <c r="E723" s="561"/>
      <c r="F723" s="561"/>
      <c r="G723" s="561"/>
      <c r="H723" s="561"/>
      <c r="I723" s="561"/>
      <c r="J723" s="561"/>
      <c r="K723" s="562"/>
      <c r="L723" s="563"/>
      <c r="M723" s="563"/>
      <c r="N723" s="563"/>
      <c r="O723" s="564"/>
      <c r="P723" s="564"/>
    </row>
    <row r="724" spans="1:16" ht="21.75" customHeight="1" x14ac:dyDescent="0.25">
      <c r="A724" s="560"/>
      <c r="B724" s="560"/>
      <c r="C724" s="560"/>
      <c r="D724" s="560"/>
      <c r="E724" s="561"/>
      <c r="F724" s="561"/>
      <c r="G724" s="561"/>
      <c r="H724" s="561"/>
      <c r="I724" s="561"/>
      <c r="J724" s="561"/>
      <c r="K724" s="562"/>
      <c r="L724" s="563"/>
      <c r="M724" s="563"/>
      <c r="N724" s="563"/>
      <c r="O724" s="564"/>
      <c r="P724" s="564"/>
    </row>
    <row r="725" spans="1:16" ht="21.75" customHeight="1" x14ac:dyDescent="0.25">
      <c r="A725" s="560"/>
      <c r="B725" s="560"/>
      <c r="C725" s="560"/>
      <c r="D725" s="560"/>
      <c r="E725" s="561"/>
      <c r="F725" s="561"/>
      <c r="G725" s="561"/>
      <c r="H725" s="561"/>
      <c r="I725" s="561"/>
      <c r="J725" s="561"/>
      <c r="K725" s="562"/>
      <c r="L725" s="563"/>
      <c r="M725" s="563"/>
      <c r="N725" s="563"/>
      <c r="O725" s="564"/>
      <c r="P725" s="564"/>
    </row>
    <row r="726" spans="1:16" ht="21.75" customHeight="1" x14ac:dyDescent="0.25">
      <c r="A726" s="560"/>
      <c r="B726" s="560"/>
      <c r="C726" s="560"/>
      <c r="D726" s="560"/>
      <c r="E726" s="561"/>
      <c r="F726" s="561"/>
      <c r="G726" s="561"/>
      <c r="H726" s="561"/>
      <c r="I726" s="561"/>
      <c r="J726" s="561"/>
      <c r="K726" s="562"/>
      <c r="L726" s="563"/>
      <c r="M726" s="563"/>
      <c r="N726" s="563"/>
      <c r="O726" s="564"/>
      <c r="P726" s="564"/>
    </row>
    <row r="727" spans="1:16" ht="21.75" customHeight="1" x14ac:dyDescent="0.25">
      <c r="A727" s="560"/>
      <c r="B727" s="560"/>
      <c r="C727" s="560"/>
      <c r="D727" s="560"/>
      <c r="E727" s="561"/>
      <c r="F727" s="561"/>
      <c r="G727" s="561"/>
      <c r="H727" s="561"/>
      <c r="I727" s="561"/>
      <c r="J727" s="561"/>
      <c r="K727" s="562"/>
      <c r="L727" s="563"/>
      <c r="M727" s="563"/>
      <c r="N727" s="563"/>
      <c r="O727" s="564"/>
      <c r="P727" s="564"/>
    </row>
    <row r="728" spans="1:16" ht="21.75" customHeight="1" x14ac:dyDescent="0.25">
      <c r="A728" s="560"/>
      <c r="B728" s="560"/>
      <c r="C728" s="560"/>
      <c r="D728" s="560"/>
      <c r="E728" s="561"/>
      <c r="F728" s="561"/>
      <c r="G728" s="561"/>
      <c r="H728" s="561"/>
      <c r="I728" s="561"/>
      <c r="J728" s="561"/>
      <c r="K728" s="562"/>
      <c r="L728" s="563"/>
      <c r="M728" s="563"/>
      <c r="N728" s="563"/>
      <c r="O728" s="564"/>
      <c r="P728" s="564"/>
    </row>
    <row r="729" spans="1:16" ht="21.75" customHeight="1" x14ac:dyDescent="0.25">
      <c r="A729" s="560"/>
      <c r="B729" s="560"/>
      <c r="C729" s="560"/>
      <c r="D729" s="560"/>
      <c r="E729" s="561"/>
      <c r="F729" s="561"/>
      <c r="G729" s="561"/>
      <c r="H729" s="561"/>
      <c r="I729" s="561"/>
      <c r="J729" s="561"/>
      <c r="K729" s="562"/>
      <c r="L729" s="563"/>
      <c r="M729" s="563"/>
      <c r="N729" s="563"/>
      <c r="O729" s="564"/>
      <c r="P729" s="564"/>
    </row>
    <row r="730" spans="1:16" ht="21.75" customHeight="1" x14ac:dyDescent="0.25">
      <c r="A730" s="560"/>
      <c r="B730" s="560"/>
      <c r="C730" s="560"/>
      <c r="D730" s="560"/>
      <c r="E730" s="561"/>
      <c r="F730" s="561"/>
      <c r="G730" s="561"/>
      <c r="H730" s="561"/>
      <c r="I730" s="561"/>
      <c r="J730" s="561"/>
      <c r="K730" s="562"/>
      <c r="L730" s="563"/>
      <c r="M730" s="563"/>
      <c r="N730" s="563"/>
      <c r="O730" s="564"/>
      <c r="P730" s="564"/>
    </row>
    <row r="731" spans="1:16" ht="21.75" customHeight="1" x14ac:dyDescent="0.25">
      <c r="A731" s="560"/>
      <c r="B731" s="560"/>
      <c r="C731" s="560"/>
      <c r="D731" s="560"/>
      <c r="E731" s="561"/>
      <c r="F731" s="561"/>
      <c r="G731" s="561"/>
      <c r="H731" s="561"/>
      <c r="I731" s="561"/>
      <c r="J731" s="561"/>
      <c r="K731" s="562"/>
      <c r="L731" s="563"/>
      <c r="M731" s="563"/>
      <c r="N731" s="563"/>
      <c r="O731" s="564"/>
      <c r="P731" s="564"/>
    </row>
    <row r="732" spans="1:16" ht="21.75" customHeight="1" x14ac:dyDescent="0.25">
      <c r="A732" s="560"/>
      <c r="B732" s="560"/>
      <c r="C732" s="560"/>
      <c r="D732" s="560"/>
      <c r="E732" s="561"/>
      <c r="F732" s="561"/>
      <c r="G732" s="561"/>
      <c r="H732" s="561"/>
      <c r="I732" s="561"/>
      <c r="J732" s="561"/>
      <c r="K732" s="562"/>
      <c r="L732" s="563"/>
      <c r="M732" s="563"/>
      <c r="N732" s="563"/>
      <c r="O732" s="564"/>
      <c r="P732" s="564"/>
    </row>
    <row r="733" spans="1:16" ht="21.75" customHeight="1" x14ac:dyDescent="0.25">
      <c r="A733" s="560"/>
      <c r="B733" s="560"/>
      <c r="C733" s="560"/>
      <c r="D733" s="560"/>
      <c r="E733" s="561"/>
      <c r="F733" s="561"/>
      <c r="G733" s="561"/>
      <c r="H733" s="561"/>
      <c r="I733" s="561"/>
      <c r="J733" s="561"/>
      <c r="K733" s="562"/>
      <c r="L733" s="563"/>
      <c r="M733" s="563"/>
      <c r="N733" s="563"/>
      <c r="O733" s="564"/>
      <c r="P733" s="564"/>
    </row>
    <row r="734" spans="1:16" ht="21.75" customHeight="1" x14ac:dyDescent="0.25">
      <c r="A734" s="560"/>
      <c r="B734" s="560"/>
      <c r="C734" s="560"/>
      <c r="D734" s="560"/>
      <c r="E734" s="561"/>
      <c r="F734" s="561"/>
      <c r="G734" s="561"/>
      <c r="H734" s="561"/>
      <c r="I734" s="561"/>
      <c r="J734" s="561"/>
      <c r="K734" s="562"/>
      <c r="L734" s="563"/>
      <c r="M734" s="563"/>
      <c r="N734" s="563"/>
      <c r="O734" s="564"/>
      <c r="P734" s="564"/>
    </row>
    <row r="735" spans="1:16" ht="21.75" customHeight="1" x14ac:dyDescent="0.25">
      <c r="A735" s="560"/>
      <c r="B735" s="560"/>
      <c r="C735" s="560"/>
      <c r="D735" s="560"/>
      <c r="E735" s="561"/>
      <c r="F735" s="561"/>
      <c r="G735" s="561"/>
      <c r="H735" s="561"/>
      <c r="I735" s="561"/>
      <c r="J735" s="561"/>
      <c r="K735" s="562"/>
      <c r="L735" s="563"/>
      <c r="M735" s="563"/>
      <c r="N735" s="563"/>
      <c r="O735" s="564"/>
      <c r="P735" s="564"/>
    </row>
    <row r="736" spans="1:16" ht="21.75" customHeight="1" x14ac:dyDescent="0.25">
      <c r="A736" s="560"/>
      <c r="B736" s="560"/>
      <c r="C736" s="560"/>
      <c r="D736" s="560"/>
      <c r="E736" s="561"/>
      <c r="F736" s="561"/>
      <c r="G736" s="561"/>
      <c r="H736" s="561"/>
      <c r="I736" s="561"/>
      <c r="J736" s="561"/>
      <c r="K736" s="562"/>
      <c r="L736" s="563"/>
      <c r="M736" s="563"/>
      <c r="N736" s="563"/>
      <c r="O736" s="564"/>
      <c r="P736" s="564"/>
    </row>
    <row r="737" spans="1:16" ht="21.75" customHeight="1" x14ac:dyDescent="0.25">
      <c r="A737" s="560"/>
      <c r="B737" s="560"/>
      <c r="C737" s="560"/>
      <c r="D737" s="560"/>
      <c r="E737" s="561"/>
      <c r="F737" s="561"/>
      <c r="G737" s="561"/>
      <c r="H737" s="561"/>
      <c r="I737" s="561"/>
      <c r="J737" s="561"/>
      <c r="K737" s="562"/>
      <c r="L737" s="563"/>
      <c r="M737" s="563"/>
      <c r="N737" s="563"/>
      <c r="O737" s="564"/>
      <c r="P737" s="564"/>
    </row>
    <row r="738" spans="1:16" ht="21.75" customHeight="1" x14ac:dyDescent="0.25">
      <c r="A738" s="560"/>
      <c r="B738" s="560"/>
      <c r="C738" s="560"/>
      <c r="D738" s="560"/>
      <c r="E738" s="561"/>
      <c r="F738" s="561"/>
      <c r="G738" s="561"/>
      <c r="H738" s="561"/>
      <c r="I738" s="561"/>
      <c r="J738" s="561"/>
      <c r="K738" s="562"/>
      <c r="L738" s="563"/>
      <c r="M738" s="563"/>
      <c r="N738" s="563"/>
      <c r="O738" s="564"/>
      <c r="P738" s="564"/>
    </row>
    <row r="739" spans="1:16" ht="21.75" customHeight="1" x14ac:dyDescent="0.25">
      <c r="A739" s="560"/>
      <c r="B739" s="560"/>
      <c r="C739" s="560"/>
      <c r="D739" s="560"/>
      <c r="E739" s="561"/>
      <c r="F739" s="561"/>
      <c r="G739" s="561"/>
      <c r="H739" s="561"/>
      <c r="I739" s="561"/>
      <c r="J739" s="561"/>
      <c r="K739" s="562"/>
      <c r="L739" s="563"/>
      <c r="M739" s="563"/>
      <c r="N739" s="563"/>
      <c r="O739" s="564"/>
      <c r="P739" s="564"/>
    </row>
    <row r="740" spans="1:16" ht="21.75" customHeight="1" x14ac:dyDescent="0.25">
      <c r="A740" s="560"/>
      <c r="B740" s="560"/>
      <c r="C740" s="560"/>
      <c r="D740" s="560"/>
      <c r="E740" s="561"/>
      <c r="F740" s="561"/>
      <c r="G740" s="561"/>
      <c r="H740" s="561"/>
      <c r="I740" s="561"/>
      <c r="J740" s="561"/>
      <c r="K740" s="562"/>
      <c r="L740" s="563"/>
      <c r="M740" s="563"/>
      <c r="N740" s="563"/>
      <c r="O740" s="564"/>
      <c r="P740" s="564"/>
    </row>
    <row r="741" spans="1:16" ht="21.75" customHeight="1" x14ac:dyDescent="0.25">
      <c r="A741" s="560"/>
      <c r="B741" s="560"/>
      <c r="C741" s="560"/>
      <c r="D741" s="560"/>
      <c r="E741" s="561"/>
      <c r="F741" s="561"/>
      <c r="G741" s="561"/>
      <c r="H741" s="561"/>
      <c r="I741" s="561"/>
      <c r="J741" s="561"/>
      <c r="K741" s="562"/>
      <c r="L741" s="563"/>
      <c r="M741" s="563"/>
      <c r="N741" s="563"/>
      <c r="O741" s="564"/>
      <c r="P741" s="564"/>
    </row>
    <row r="742" spans="1:16" ht="21.75" customHeight="1" x14ac:dyDescent="0.25">
      <c r="A742" s="560"/>
      <c r="B742" s="560"/>
      <c r="C742" s="560"/>
      <c r="D742" s="560"/>
      <c r="E742" s="561"/>
      <c r="F742" s="561"/>
      <c r="G742" s="561"/>
      <c r="H742" s="561"/>
      <c r="I742" s="561"/>
      <c r="J742" s="561"/>
      <c r="K742" s="562"/>
      <c r="L742" s="563"/>
      <c r="M742" s="563"/>
      <c r="N742" s="563"/>
      <c r="O742" s="564"/>
      <c r="P742" s="564"/>
    </row>
    <row r="743" spans="1:16" ht="21.75" customHeight="1" x14ac:dyDescent="0.25">
      <c r="A743" s="560"/>
      <c r="B743" s="560"/>
      <c r="C743" s="560"/>
      <c r="D743" s="560"/>
      <c r="E743" s="561"/>
      <c r="F743" s="561"/>
      <c r="G743" s="561"/>
      <c r="H743" s="561"/>
      <c r="I743" s="561"/>
      <c r="J743" s="561"/>
      <c r="K743" s="562"/>
      <c r="L743" s="563"/>
      <c r="M743" s="563"/>
      <c r="N743" s="563"/>
      <c r="O743" s="564"/>
      <c r="P743" s="564"/>
    </row>
    <row r="744" spans="1:16" ht="21.75" customHeight="1" x14ac:dyDescent="0.25">
      <c r="A744" s="560"/>
      <c r="B744" s="560"/>
      <c r="C744" s="560"/>
      <c r="D744" s="560"/>
      <c r="E744" s="561"/>
      <c r="F744" s="561"/>
      <c r="G744" s="561"/>
      <c r="H744" s="561"/>
      <c r="I744" s="561"/>
      <c r="J744" s="561"/>
      <c r="K744" s="562"/>
      <c r="L744" s="563"/>
      <c r="M744" s="563"/>
      <c r="N744" s="563"/>
      <c r="O744" s="564"/>
      <c r="P744" s="564"/>
    </row>
    <row r="745" spans="1:16" ht="21.75" customHeight="1" x14ac:dyDescent="0.25">
      <c r="A745" s="560"/>
      <c r="B745" s="560"/>
      <c r="C745" s="560"/>
      <c r="D745" s="560"/>
      <c r="E745" s="561"/>
      <c r="F745" s="561"/>
      <c r="G745" s="561"/>
      <c r="H745" s="561"/>
      <c r="I745" s="561"/>
      <c r="J745" s="561"/>
      <c r="K745" s="562"/>
      <c r="L745" s="563"/>
      <c r="M745" s="563"/>
      <c r="N745" s="563"/>
      <c r="O745" s="564"/>
      <c r="P745" s="564"/>
    </row>
    <row r="746" spans="1:16" ht="21.75" customHeight="1" x14ac:dyDescent="0.25">
      <c r="A746" s="560"/>
      <c r="B746" s="560"/>
      <c r="C746" s="560"/>
      <c r="D746" s="560"/>
      <c r="E746" s="561"/>
      <c r="F746" s="561"/>
      <c r="G746" s="561"/>
      <c r="H746" s="561"/>
      <c r="I746" s="561"/>
      <c r="J746" s="561"/>
      <c r="K746" s="562"/>
      <c r="L746" s="563"/>
      <c r="M746" s="563"/>
      <c r="N746" s="563"/>
      <c r="O746" s="564"/>
      <c r="P746" s="564"/>
    </row>
    <row r="747" spans="1:16" ht="21.75" customHeight="1" x14ac:dyDescent="0.25">
      <c r="A747" s="560"/>
      <c r="B747" s="560"/>
      <c r="C747" s="560"/>
      <c r="D747" s="560"/>
      <c r="E747" s="561"/>
      <c r="F747" s="561"/>
      <c r="G747" s="561"/>
      <c r="H747" s="561"/>
      <c r="I747" s="561"/>
      <c r="J747" s="561"/>
      <c r="K747" s="562"/>
      <c r="L747" s="563"/>
      <c r="M747" s="563"/>
      <c r="N747" s="563"/>
      <c r="O747" s="564"/>
      <c r="P747" s="564"/>
    </row>
    <row r="748" spans="1:16" ht="21.75" customHeight="1" x14ac:dyDescent="0.25">
      <c r="A748" s="560"/>
      <c r="B748" s="560"/>
      <c r="C748" s="560"/>
      <c r="D748" s="560"/>
      <c r="E748" s="561"/>
      <c r="F748" s="561"/>
      <c r="G748" s="561"/>
      <c r="H748" s="561"/>
      <c r="I748" s="561"/>
      <c r="J748" s="561"/>
      <c r="K748" s="562"/>
      <c r="L748" s="563"/>
      <c r="M748" s="563"/>
      <c r="N748" s="563"/>
      <c r="O748" s="564"/>
      <c r="P748" s="564"/>
    </row>
    <row r="749" spans="1:16" ht="21.75" customHeight="1" x14ac:dyDescent="0.25">
      <c r="A749" s="560"/>
      <c r="B749" s="560"/>
      <c r="C749" s="560"/>
      <c r="D749" s="560"/>
      <c r="E749" s="561"/>
      <c r="F749" s="561"/>
      <c r="G749" s="561"/>
      <c r="H749" s="561"/>
      <c r="I749" s="561"/>
      <c r="J749" s="561"/>
      <c r="K749" s="562"/>
      <c r="L749" s="563"/>
      <c r="M749" s="563"/>
      <c r="N749" s="563"/>
      <c r="O749" s="564"/>
      <c r="P749" s="564"/>
    </row>
    <row r="750" spans="1:16" ht="21.75" customHeight="1" x14ac:dyDescent="0.25">
      <c r="A750" s="560"/>
      <c r="B750" s="560"/>
      <c r="C750" s="560"/>
      <c r="D750" s="560"/>
      <c r="E750" s="561"/>
      <c r="F750" s="561"/>
      <c r="G750" s="561"/>
      <c r="H750" s="561"/>
      <c r="I750" s="561"/>
      <c r="J750" s="561"/>
      <c r="K750" s="562"/>
      <c r="L750" s="563"/>
      <c r="M750" s="563"/>
      <c r="N750" s="563"/>
      <c r="O750" s="564"/>
      <c r="P750" s="564"/>
    </row>
    <row r="751" spans="1:16" ht="21.75" customHeight="1" x14ac:dyDescent="0.25">
      <c r="A751" s="560"/>
      <c r="B751" s="560"/>
      <c r="C751" s="560"/>
      <c r="D751" s="560"/>
      <c r="E751" s="561"/>
      <c r="F751" s="561"/>
      <c r="G751" s="561"/>
      <c r="H751" s="561"/>
      <c r="I751" s="561"/>
      <c r="J751" s="561"/>
      <c r="K751" s="562"/>
      <c r="L751" s="563"/>
      <c r="M751" s="563"/>
      <c r="N751" s="563"/>
      <c r="O751" s="564"/>
      <c r="P751" s="564"/>
    </row>
    <row r="752" spans="1:16" ht="21.75" customHeight="1" x14ac:dyDescent="0.25">
      <c r="A752" s="560"/>
      <c r="B752" s="560"/>
      <c r="C752" s="560"/>
      <c r="D752" s="560"/>
      <c r="E752" s="561"/>
      <c r="F752" s="561"/>
      <c r="G752" s="561"/>
      <c r="H752" s="561"/>
      <c r="I752" s="561"/>
      <c r="J752" s="561"/>
      <c r="K752" s="562"/>
      <c r="L752" s="563"/>
      <c r="M752" s="563"/>
      <c r="N752" s="563"/>
      <c r="O752" s="564"/>
      <c r="P752" s="564"/>
    </row>
    <row r="753" spans="1:16" ht="21.75" customHeight="1" x14ac:dyDescent="0.25">
      <c r="A753" s="560"/>
      <c r="B753" s="560"/>
      <c r="C753" s="560"/>
      <c r="D753" s="560"/>
      <c r="E753" s="561"/>
      <c r="F753" s="561"/>
      <c r="G753" s="561"/>
      <c r="H753" s="561"/>
      <c r="I753" s="561"/>
      <c r="J753" s="561"/>
      <c r="K753" s="562"/>
      <c r="L753" s="563"/>
      <c r="M753" s="563"/>
      <c r="N753" s="563"/>
      <c r="O753" s="564"/>
      <c r="P753" s="564"/>
    </row>
    <row r="754" spans="1:16" ht="21.75" customHeight="1" x14ac:dyDescent="0.25">
      <c r="A754" s="560"/>
      <c r="B754" s="560"/>
      <c r="C754" s="560"/>
      <c r="D754" s="560"/>
      <c r="E754" s="561"/>
      <c r="F754" s="561"/>
      <c r="G754" s="561"/>
      <c r="H754" s="561"/>
      <c r="I754" s="561"/>
      <c r="J754" s="561"/>
      <c r="K754" s="562"/>
      <c r="L754" s="563"/>
      <c r="M754" s="563"/>
      <c r="N754" s="563"/>
      <c r="O754" s="564"/>
      <c r="P754" s="564"/>
    </row>
    <row r="755" spans="1:16" ht="21.75" customHeight="1" x14ac:dyDescent="0.25">
      <c r="A755" s="560"/>
      <c r="B755" s="560"/>
      <c r="C755" s="560"/>
      <c r="D755" s="560"/>
      <c r="E755" s="561"/>
      <c r="F755" s="561"/>
      <c r="G755" s="561"/>
      <c r="H755" s="561"/>
      <c r="I755" s="561"/>
      <c r="J755" s="561"/>
      <c r="K755" s="562"/>
      <c r="L755" s="563"/>
      <c r="M755" s="563"/>
      <c r="N755" s="563"/>
      <c r="O755" s="564"/>
      <c r="P755" s="564"/>
    </row>
    <row r="756" spans="1:16" ht="21.75" customHeight="1" x14ac:dyDescent="0.25">
      <c r="A756" s="560"/>
      <c r="B756" s="560"/>
      <c r="C756" s="560"/>
      <c r="D756" s="560"/>
      <c r="E756" s="561"/>
      <c r="F756" s="561"/>
      <c r="G756" s="561"/>
      <c r="H756" s="561"/>
      <c r="I756" s="561"/>
      <c r="J756" s="561"/>
      <c r="K756" s="562"/>
      <c r="L756" s="563"/>
      <c r="M756" s="563"/>
      <c r="N756" s="563"/>
      <c r="O756" s="564"/>
      <c r="P756" s="564"/>
    </row>
    <row r="757" spans="1:16" ht="21.75" customHeight="1" x14ac:dyDescent="0.25">
      <c r="A757" s="560"/>
      <c r="B757" s="560"/>
      <c r="C757" s="560"/>
      <c r="D757" s="560"/>
      <c r="E757" s="561"/>
      <c r="F757" s="561"/>
      <c r="G757" s="561"/>
      <c r="H757" s="561"/>
      <c r="I757" s="561"/>
      <c r="J757" s="561"/>
      <c r="K757" s="562"/>
      <c r="L757" s="563"/>
      <c r="M757" s="563"/>
      <c r="N757" s="563"/>
      <c r="O757" s="564"/>
      <c r="P757" s="564"/>
    </row>
    <row r="758" spans="1:16" ht="21.75" customHeight="1" x14ac:dyDescent="0.25">
      <c r="A758" s="560"/>
      <c r="B758" s="560"/>
      <c r="C758" s="560"/>
      <c r="D758" s="560"/>
      <c r="E758" s="561"/>
      <c r="F758" s="561"/>
      <c r="G758" s="561"/>
      <c r="H758" s="561"/>
      <c r="I758" s="561"/>
      <c r="J758" s="561"/>
      <c r="K758" s="562"/>
      <c r="L758" s="563"/>
      <c r="M758" s="563"/>
      <c r="N758" s="563"/>
      <c r="O758" s="564"/>
      <c r="P758" s="564"/>
    </row>
    <row r="759" spans="1:16" ht="21.75" customHeight="1" x14ac:dyDescent="0.25">
      <c r="A759" s="560"/>
      <c r="B759" s="560"/>
      <c r="C759" s="560"/>
      <c r="D759" s="560"/>
      <c r="E759" s="561"/>
      <c r="F759" s="561"/>
      <c r="G759" s="561"/>
      <c r="H759" s="561"/>
      <c r="I759" s="561"/>
      <c r="J759" s="561"/>
      <c r="K759" s="562"/>
      <c r="L759" s="563"/>
      <c r="M759" s="563"/>
      <c r="N759" s="563"/>
      <c r="O759" s="564"/>
      <c r="P759" s="564"/>
    </row>
    <row r="760" spans="1:16" ht="21.75" customHeight="1" x14ac:dyDescent="0.25">
      <c r="A760" s="560"/>
      <c r="B760" s="560"/>
      <c r="C760" s="560"/>
      <c r="D760" s="560"/>
      <c r="E760" s="561"/>
      <c r="F760" s="561"/>
      <c r="G760" s="561"/>
      <c r="H760" s="561"/>
      <c r="I760" s="561"/>
      <c r="J760" s="561"/>
      <c r="K760" s="562"/>
      <c r="L760" s="563"/>
      <c r="M760" s="563"/>
      <c r="N760" s="563"/>
      <c r="O760" s="564"/>
      <c r="P760" s="564"/>
    </row>
    <row r="761" spans="1:16" ht="21.75" customHeight="1" x14ac:dyDescent="0.25">
      <c r="A761" s="560"/>
      <c r="B761" s="560"/>
      <c r="C761" s="560"/>
      <c r="D761" s="560"/>
      <c r="E761" s="561"/>
      <c r="F761" s="561"/>
      <c r="G761" s="561"/>
      <c r="H761" s="561"/>
      <c r="I761" s="561"/>
      <c r="J761" s="561"/>
      <c r="K761" s="562"/>
      <c r="L761" s="563"/>
      <c r="M761" s="563"/>
      <c r="N761" s="563"/>
      <c r="O761" s="564"/>
      <c r="P761" s="564"/>
    </row>
    <row r="762" spans="1:16" ht="21.75" customHeight="1" x14ac:dyDescent="0.25">
      <c r="A762" s="560"/>
      <c r="B762" s="560"/>
      <c r="C762" s="560"/>
      <c r="D762" s="560"/>
      <c r="E762" s="561"/>
      <c r="F762" s="561"/>
      <c r="G762" s="561"/>
      <c r="H762" s="561"/>
      <c r="I762" s="561"/>
      <c r="J762" s="561"/>
      <c r="K762" s="562"/>
      <c r="L762" s="563"/>
      <c r="M762" s="563"/>
      <c r="N762" s="563"/>
      <c r="O762" s="564"/>
      <c r="P762" s="564"/>
    </row>
    <row r="763" spans="1:16" ht="21.75" customHeight="1" x14ac:dyDescent="0.25">
      <c r="A763" s="560"/>
      <c r="B763" s="560"/>
      <c r="C763" s="560"/>
      <c r="D763" s="560"/>
      <c r="E763" s="561"/>
      <c r="F763" s="561"/>
      <c r="G763" s="561"/>
      <c r="H763" s="561"/>
      <c r="I763" s="561"/>
      <c r="J763" s="561"/>
      <c r="K763" s="562"/>
      <c r="L763" s="563"/>
      <c r="M763" s="563"/>
      <c r="N763" s="563"/>
      <c r="O763" s="564"/>
      <c r="P763" s="564"/>
    </row>
    <row r="764" spans="1:16" ht="21.75" customHeight="1" x14ac:dyDescent="0.25">
      <c r="A764" s="560"/>
      <c r="B764" s="560"/>
      <c r="C764" s="560"/>
      <c r="D764" s="560"/>
      <c r="E764" s="561"/>
      <c r="F764" s="561"/>
      <c r="G764" s="561"/>
      <c r="H764" s="561"/>
      <c r="I764" s="561"/>
      <c r="J764" s="561"/>
      <c r="K764" s="562"/>
      <c r="L764" s="563"/>
      <c r="M764" s="563"/>
      <c r="N764" s="563"/>
      <c r="O764" s="564"/>
      <c r="P764" s="564"/>
    </row>
    <row r="765" spans="1:16" ht="21.75" customHeight="1" x14ac:dyDescent="0.25">
      <c r="A765" s="560"/>
      <c r="B765" s="560"/>
      <c r="C765" s="560"/>
      <c r="D765" s="560"/>
      <c r="E765" s="561"/>
      <c r="F765" s="561"/>
      <c r="G765" s="561"/>
      <c r="H765" s="561"/>
      <c r="I765" s="561"/>
      <c r="J765" s="561"/>
      <c r="K765" s="562"/>
      <c r="L765" s="563"/>
      <c r="M765" s="563"/>
      <c r="N765" s="563"/>
      <c r="O765" s="564"/>
      <c r="P765" s="564"/>
    </row>
    <row r="766" spans="1:16" ht="21.75" customHeight="1" x14ac:dyDescent="0.25">
      <c r="A766" s="560"/>
      <c r="B766" s="560"/>
      <c r="C766" s="560"/>
      <c r="D766" s="560"/>
      <c r="E766" s="561"/>
      <c r="F766" s="561"/>
      <c r="G766" s="561"/>
      <c r="H766" s="561"/>
      <c r="I766" s="561"/>
      <c r="J766" s="561"/>
      <c r="K766" s="562"/>
      <c r="L766" s="563"/>
      <c r="M766" s="563"/>
      <c r="N766" s="563"/>
      <c r="O766" s="564"/>
      <c r="P766" s="564"/>
    </row>
    <row r="767" spans="1:16" ht="21.75" customHeight="1" x14ac:dyDescent="0.25">
      <c r="A767" s="560"/>
      <c r="B767" s="560"/>
      <c r="C767" s="560"/>
      <c r="D767" s="560"/>
      <c r="E767" s="561"/>
      <c r="F767" s="561"/>
      <c r="G767" s="561"/>
      <c r="H767" s="561"/>
      <c r="I767" s="561"/>
      <c r="J767" s="561"/>
      <c r="K767" s="562"/>
      <c r="L767" s="563"/>
      <c r="M767" s="563"/>
      <c r="N767" s="563"/>
      <c r="O767" s="564"/>
      <c r="P767" s="564"/>
    </row>
    <row r="768" spans="1:16" ht="21.75" customHeight="1" x14ac:dyDescent="0.25">
      <c r="A768" s="560"/>
      <c r="B768" s="560"/>
      <c r="C768" s="560"/>
      <c r="D768" s="560"/>
      <c r="E768" s="561"/>
      <c r="F768" s="561"/>
      <c r="G768" s="561"/>
      <c r="H768" s="561"/>
      <c r="I768" s="561"/>
      <c r="J768" s="561"/>
      <c r="K768" s="562"/>
      <c r="L768" s="563"/>
      <c r="M768" s="563"/>
      <c r="N768" s="563"/>
      <c r="O768" s="564"/>
      <c r="P768" s="564"/>
    </row>
    <row r="769" spans="1:16" ht="21.75" customHeight="1" x14ac:dyDescent="0.25">
      <c r="A769" s="560"/>
      <c r="B769" s="560"/>
      <c r="C769" s="560"/>
      <c r="D769" s="560"/>
      <c r="E769" s="561"/>
      <c r="F769" s="561"/>
      <c r="G769" s="561"/>
      <c r="H769" s="561"/>
      <c r="I769" s="561"/>
      <c r="J769" s="561"/>
      <c r="K769" s="562"/>
      <c r="L769" s="563"/>
      <c r="M769" s="563"/>
      <c r="N769" s="563"/>
      <c r="O769" s="564"/>
      <c r="P769" s="564"/>
    </row>
    <row r="770" spans="1:16" ht="21.75" customHeight="1" x14ac:dyDescent="0.25">
      <c r="A770" s="560"/>
      <c r="B770" s="560"/>
      <c r="C770" s="560"/>
      <c r="D770" s="560"/>
      <c r="E770" s="561"/>
      <c r="F770" s="561"/>
      <c r="G770" s="561"/>
      <c r="H770" s="561"/>
      <c r="I770" s="561"/>
      <c r="J770" s="561"/>
      <c r="K770" s="562"/>
      <c r="L770" s="563"/>
      <c r="M770" s="563"/>
      <c r="N770" s="563"/>
      <c r="O770" s="564"/>
      <c r="P770" s="564"/>
    </row>
    <row r="771" spans="1:16" ht="21.75" customHeight="1" x14ac:dyDescent="0.25">
      <c r="A771" s="560"/>
      <c r="B771" s="560"/>
      <c r="C771" s="560"/>
      <c r="D771" s="560"/>
      <c r="E771" s="561"/>
      <c r="F771" s="561"/>
      <c r="G771" s="561"/>
      <c r="H771" s="561"/>
      <c r="I771" s="561"/>
      <c r="J771" s="561"/>
      <c r="K771" s="562"/>
      <c r="L771" s="563"/>
      <c r="M771" s="563"/>
      <c r="N771" s="563"/>
      <c r="O771" s="564"/>
      <c r="P771" s="564"/>
    </row>
    <row r="772" spans="1:16" ht="21.75" customHeight="1" x14ac:dyDescent="0.25">
      <c r="A772" s="560"/>
      <c r="B772" s="560"/>
      <c r="C772" s="560"/>
      <c r="D772" s="560"/>
      <c r="E772" s="561"/>
      <c r="F772" s="561"/>
      <c r="G772" s="561"/>
      <c r="H772" s="561"/>
      <c r="I772" s="561"/>
      <c r="J772" s="561"/>
      <c r="K772" s="562"/>
      <c r="L772" s="563"/>
      <c r="M772" s="563"/>
      <c r="N772" s="563"/>
      <c r="O772" s="564"/>
      <c r="P772" s="564"/>
    </row>
    <row r="773" spans="1:16" ht="21.75" customHeight="1" x14ac:dyDescent="0.25">
      <c r="A773" s="560"/>
      <c r="B773" s="560"/>
      <c r="C773" s="560"/>
      <c r="D773" s="560"/>
      <c r="E773" s="561"/>
      <c r="F773" s="561"/>
      <c r="G773" s="561"/>
      <c r="H773" s="561"/>
      <c r="I773" s="561"/>
      <c r="J773" s="561"/>
      <c r="K773" s="562"/>
      <c r="L773" s="563"/>
      <c r="M773" s="563"/>
      <c r="N773" s="563"/>
      <c r="O773" s="564"/>
      <c r="P773" s="564"/>
    </row>
    <row r="774" spans="1:16" ht="21.75" customHeight="1" x14ac:dyDescent="0.25">
      <c r="A774" s="560"/>
      <c r="B774" s="560"/>
      <c r="C774" s="560"/>
      <c r="D774" s="560"/>
      <c r="E774" s="561"/>
      <c r="F774" s="561"/>
      <c r="G774" s="561"/>
      <c r="H774" s="561"/>
      <c r="I774" s="561"/>
      <c r="J774" s="561"/>
      <c r="K774" s="562"/>
      <c r="L774" s="563"/>
      <c r="M774" s="563"/>
      <c r="N774" s="563"/>
      <c r="O774" s="564"/>
      <c r="P774" s="564"/>
    </row>
    <row r="775" spans="1:16" ht="21.75" customHeight="1" x14ac:dyDescent="0.25">
      <c r="A775" s="560"/>
      <c r="B775" s="560"/>
      <c r="C775" s="560"/>
      <c r="D775" s="560"/>
      <c r="E775" s="561"/>
      <c r="F775" s="561"/>
      <c r="G775" s="561"/>
      <c r="H775" s="561"/>
      <c r="I775" s="561"/>
      <c r="J775" s="561"/>
      <c r="K775" s="562"/>
      <c r="L775" s="563"/>
      <c r="M775" s="563"/>
      <c r="N775" s="563"/>
      <c r="O775" s="564"/>
      <c r="P775" s="564"/>
    </row>
    <row r="776" spans="1:16" ht="21.75" customHeight="1" x14ac:dyDescent="0.25">
      <c r="A776" s="560"/>
      <c r="B776" s="560"/>
      <c r="C776" s="560"/>
      <c r="D776" s="560"/>
      <c r="E776" s="561"/>
      <c r="F776" s="561"/>
      <c r="G776" s="561"/>
      <c r="H776" s="561"/>
      <c r="I776" s="561"/>
      <c r="J776" s="561"/>
      <c r="K776" s="562"/>
      <c r="L776" s="563"/>
      <c r="M776" s="563"/>
      <c r="N776" s="563"/>
      <c r="O776" s="564"/>
      <c r="P776" s="564"/>
    </row>
    <row r="777" spans="1:16" ht="21.75" customHeight="1" x14ac:dyDescent="0.25">
      <c r="A777" s="560"/>
      <c r="B777" s="560"/>
      <c r="C777" s="560"/>
      <c r="D777" s="560"/>
      <c r="E777" s="561"/>
      <c r="F777" s="561"/>
      <c r="G777" s="561"/>
      <c r="H777" s="561"/>
      <c r="I777" s="561"/>
      <c r="J777" s="561"/>
      <c r="K777" s="562"/>
      <c r="L777" s="563"/>
      <c r="M777" s="563"/>
      <c r="N777" s="563"/>
      <c r="O777" s="564"/>
      <c r="P777" s="564"/>
    </row>
    <row r="778" spans="1:16" ht="21.75" customHeight="1" x14ac:dyDescent="0.25">
      <c r="A778" s="560"/>
      <c r="B778" s="560"/>
      <c r="C778" s="560"/>
      <c r="D778" s="560"/>
      <c r="E778" s="561"/>
      <c r="F778" s="561"/>
      <c r="G778" s="561"/>
      <c r="H778" s="561"/>
      <c r="I778" s="561"/>
      <c r="J778" s="561"/>
      <c r="K778" s="562"/>
      <c r="L778" s="563"/>
      <c r="M778" s="563"/>
      <c r="N778" s="563"/>
      <c r="O778" s="564"/>
      <c r="P778" s="564"/>
    </row>
    <row r="779" spans="1:16" ht="21.75" customHeight="1" x14ac:dyDescent="0.25">
      <c r="A779" s="560"/>
      <c r="B779" s="560"/>
      <c r="C779" s="560"/>
      <c r="D779" s="560"/>
      <c r="E779" s="561"/>
      <c r="F779" s="561"/>
      <c r="G779" s="561"/>
      <c r="H779" s="561"/>
      <c r="I779" s="561"/>
      <c r="J779" s="561"/>
      <c r="K779" s="562"/>
      <c r="L779" s="563"/>
      <c r="M779" s="563"/>
      <c r="N779" s="563"/>
      <c r="O779" s="564"/>
      <c r="P779" s="564"/>
    </row>
    <row r="780" spans="1:16" ht="21.75" customHeight="1" x14ac:dyDescent="0.25">
      <c r="A780" s="560"/>
      <c r="B780" s="560"/>
      <c r="C780" s="560"/>
      <c r="D780" s="560"/>
      <c r="E780" s="561"/>
      <c r="F780" s="561"/>
      <c r="G780" s="561"/>
      <c r="H780" s="561"/>
      <c r="I780" s="561"/>
      <c r="J780" s="561"/>
      <c r="K780" s="562"/>
      <c r="L780" s="563"/>
      <c r="M780" s="563"/>
      <c r="N780" s="563"/>
      <c r="O780" s="564"/>
      <c r="P780" s="564"/>
    </row>
    <row r="781" spans="1:16" ht="21.75" customHeight="1" x14ac:dyDescent="0.25">
      <c r="A781" s="560"/>
      <c r="B781" s="560"/>
      <c r="C781" s="560"/>
      <c r="D781" s="560"/>
      <c r="E781" s="561"/>
      <c r="F781" s="561"/>
      <c r="G781" s="561"/>
      <c r="H781" s="561"/>
      <c r="I781" s="561"/>
      <c r="J781" s="561"/>
      <c r="K781" s="562"/>
      <c r="L781" s="563"/>
      <c r="M781" s="563"/>
      <c r="N781" s="563"/>
      <c r="O781" s="564"/>
      <c r="P781" s="564"/>
    </row>
    <row r="782" spans="1:16" ht="21.75" customHeight="1" x14ac:dyDescent="0.25">
      <c r="A782" s="560"/>
      <c r="B782" s="560"/>
      <c r="C782" s="560"/>
      <c r="D782" s="560"/>
      <c r="E782" s="561"/>
      <c r="F782" s="561"/>
      <c r="G782" s="561"/>
      <c r="H782" s="561"/>
      <c r="I782" s="561"/>
      <c r="J782" s="561"/>
      <c r="K782" s="562"/>
      <c r="L782" s="563"/>
      <c r="M782" s="563"/>
      <c r="N782" s="563"/>
      <c r="O782" s="564"/>
      <c r="P782" s="564"/>
    </row>
    <row r="783" spans="1:16" ht="21.75" customHeight="1" x14ac:dyDescent="0.25">
      <c r="A783" s="560"/>
      <c r="B783" s="560"/>
      <c r="C783" s="560"/>
      <c r="D783" s="560"/>
      <c r="E783" s="561"/>
      <c r="F783" s="561"/>
      <c r="G783" s="561"/>
      <c r="H783" s="561"/>
      <c r="I783" s="561"/>
      <c r="J783" s="561"/>
      <c r="K783" s="562"/>
      <c r="L783" s="563"/>
      <c r="M783" s="563"/>
      <c r="N783" s="563"/>
      <c r="O783" s="564"/>
      <c r="P783" s="564"/>
    </row>
    <row r="784" spans="1:16" ht="21.75" customHeight="1" x14ac:dyDescent="0.25">
      <c r="A784" s="560"/>
      <c r="B784" s="560"/>
      <c r="C784" s="560"/>
      <c r="D784" s="560"/>
      <c r="E784" s="561"/>
      <c r="F784" s="561"/>
      <c r="G784" s="561"/>
      <c r="H784" s="561"/>
      <c r="I784" s="561"/>
      <c r="J784" s="561"/>
      <c r="K784" s="562"/>
      <c r="L784" s="563"/>
      <c r="M784" s="563"/>
      <c r="N784" s="563"/>
      <c r="O784" s="564"/>
      <c r="P784" s="564"/>
    </row>
    <row r="785" spans="1:16" ht="21.75" customHeight="1" x14ac:dyDescent="0.25">
      <c r="A785" s="560"/>
      <c r="B785" s="560"/>
      <c r="C785" s="560"/>
      <c r="D785" s="560"/>
      <c r="E785" s="561"/>
      <c r="F785" s="561"/>
      <c r="G785" s="561"/>
      <c r="H785" s="561"/>
      <c r="I785" s="561"/>
      <c r="J785" s="561"/>
      <c r="K785" s="562"/>
      <c r="L785" s="563"/>
      <c r="M785" s="563"/>
      <c r="N785" s="563"/>
      <c r="O785" s="564"/>
      <c r="P785" s="564"/>
    </row>
    <row r="786" spans="1:16" ht="21.75" customHeight="1" x14ac:dyDescent="0.25">
      <c r="A786" s="560"/>
      <c r="B786" s="560"/>
      <c r="C786" s="560"/>
      <c r="D786" s="560"/>
      <c r="E786" s="561"/>
      <c r="F786" s="561"/>
      <c r="G786" s="561"/>
      <c r="H786" s="561"/>
      <c r="I786" s="561"/>
      <c r="J786" s="561"/>
      <c r="K786" s="562"/>
      <c r="L786" s="563"/>
      <c r="M786" s="563"/>
      <c r="N786" s="563"/>
      <c r="O786" s="564"/>
      <c r="P786" s="564"/>
    </row>
    <row r="787" spans="1:16" ht="21.75" customHeight="1" x14ac:dyDescent="0.25">
      <c r="A787" s="560"/>
      <c r="B787" s="560"/>
      <c r="C787" s="560"/>
      <c r="D787" s="560"/>
      <c r="E787" s="561"/>
      <c r="F787" s="561"/>
      <c r="G787" s="561"/>
      <c r="H787" s="561"/>
      <c r="I787" s="561"/>
      <c r="J787" s="561"/>
      <c r="K787" s="562"/>
      <c r="L787" s="563"/>
      <c r="M787" s="563"/>
      <c r="N787" s="563"/>
      <c r="O787" s="564"/>
      <c r="P787" s="564"/>
    </row>
    <row r="788" spans="1:16" ht="21.75" customHeight="1" x14ac:dyDescent="0.25">
      <c r="A788" s="560"/>
      <c r="B788" s="560"/>
      <c r="C788" s="560"/>
      <c r="D788" s="560"/>
      <c r="E788" s="561"/>
      <c r="F788" s="561"/>
      <c r="G788" s="561"/>
      <c r="H788" s="561"/>
      <c r="I788" s="561"/>
      <c r="J788" s="561"/>
      <c r="K788" s="562"/>
      <c r="L788" s="563"/>
      <c r="M788" s="563"/>
      <c r="N788" s="563"/>
      <c r="O788" s="564"/>
      <c r="P788" s="564"/>
    </row>
    <row r="789" spans="1:16" ht="21.75" customHeight="1" x14ac:dyDescent="0.25">
      <c r="A789" s="560"/>
      <c r="B789" s="560"/>
      <c r="C789" s="560"/>
      <c r="D789" s="560"/>
      <c r="E789" s="561"/>
      <c r="F789" s="561"/>
      <c r="G789" s="561"/>
      <c r="H789" s="561"/>
      <c r="I789" s="561"/>
      <c r="J789" s="561"/>
      <c r="K789" s="562"/>
      <c r="L789" s="563"/>
      <c r="M789" s="563"/>
      <c r="N789" s="563"/>
      <c r="O789" s="564"/>
      <c r="P789" s="564"/>
    </row>
    <row r="790" spans="1:16" ht="21.75" customHeight="1" x14ac:dyDescent="0.25">
      <c r="A790" s="560"/>
      <c r="B790" s="560"/>
      <c r="C790" s="560"/>
      <c r="D790" s="560"/>
      <c r="E790" s="561"/>
      <c r="F790" s="561"/>
      <c r="G790" s="561"/>
      <c r="H790" s="561"/>
      <c r="I790" s="561"/>
      <c r="J790" s="561"/>
      <c r="K790" s="562"/>
      <c r="L790" s="563"/>
      <c r="M790" s="563"/>
      <c r="N790" s="563"/>
      <c r="O790" s="564"/>
      <c r="P790" s="564"/>
    </row>
    <row r="791" spans="1:16" ht="21.75" customHeight="1" x14ac:dyDescent="0.25">
      <c r="A791" s="560"/>
      <c r="B791" s="560"/>
      <c r="C791" s="560"/>
      <c r="D791" s="560"/>
      <c r="E791" s="561"/>
      <c r="F791" s="561"/>
      <c r="G791" s="561"/>
      <c r="H791" s="561"/>
      <c r="I791" s="561"/>
      <c r="J791" s="561"/>
      <c r="K791" s="562"/>
      <c r="L791" s="563"/>
      <c r="M791" s="563"/>
      <c r="N791" s="563"/>
      <c r="O791" s="564"/>
      <c r="P791" s="564"/>
    </row>
    <row r="792" spans="1:16" ht="21.75" customHeight="1" x14ac:dyDescent="0.25">
      <c r="A792" s="560"/>
      <c r="B792" s="560"/>
      <c r="C792" s="560"/>
      <c r="D792" s="560"/>
      <c r="E792" s="561"/>
      <c r="F792" s="561"/>
      <c r="G792" s="561"/>
      <c r="H792" s="561"/>
      <c r="I792" s="561"/>
      <c r="J792" s="561"/>
      <c r="K792" s="562"/>
      <c r="L792" s="563"/>
      <c r="M792" s="563"/>
      <c r="N792" s="563"/>
      <c r="O792" s="564"/>
      <c r="P792" s="564"/>
    </row>
    <row r="793" spans="1:16" ht="21.75" customHeight="1" x14ac:dyDescent="0.25">
      <c r="A793" s="560"/>
      <c r="B793" s="560"/>
      <c r="C793" s="560"/>
      <c r="D793" s="560"/>
      <c r="E793" s="561"/>
      <c r="F793" s="561"/>
      <c r="G793" s="561"/>
      <c r="H793" s="561"/>
      <c r="I793" s="561"/>
      <c r="J793" s="561"/>
      <c r="K793" s="562"/>
      <c r="L793" s="563"/>
      <c r="M793" s="563"/>
      <c r="N793" s="563"/>
      <c r="O793" s="564"/>
      <c r="P793" s="564"/>
    </row>
    <row r="794" spans="1:16" ht="21.75" customHeight="1" x14ac:dyDescent="0.25">
      <c r="A794" s="560"/>
      <c r="B794" s="560"/>
      <c r="C794" s="560"/>
      <c r="D794" s="560"/>
      <c r="E794" s="561"/>
      <c r="F794" s="561"/>
      <c r="G794" s="561"/>
      <c r="H794" s="561"/>
      <c r="I794" s="561"/>
      <c r="J794" s="561"/>
      <c r="K794" s="562"/>
      <c r="L794" s="563"/>
      <c r="M794" s="563"/>
      <c r="N794" s="563"/>
      <c r="O794" s="564"/>
      <c r="P794" s="564"/>
    </row>
    <row r="795" spans="1:16" ht="21.75" customHeight="1" x14ac:dyDescent="0.25">
      <c r="A795" s="560"/>
      <c r="B795" s="560"/>
      <c r="C795" s="560"/>
      <c r="D795" s="560"/>
      <c r="E795" s="561"/>
      <c r="F795" s="561"/>
      <c r="G795" s="561"/>
      <c r="H795" s="561"/>
      <c r="I795" s="561"/>
      <c r="J795" s="561"/>
      <c r="K795" s="562"/>
      <c r="L795" s="563"/>
      <c r="M795" s="563"/>
      <c r="N795" s="563"/>
      <c r="O795" s="564"/>
      <c r="P795" s="564"/>
    </row>
    <row r="796" spans="1:16" ht="21.75" customHeight="1" x14ac:dyDescent="0.25">
      <c r="A796" s="560"/>
      <c r="B796" s="560"/>
      <c r="C796" s="560"/>
      <c r="D796" s="560"/>
      <c r="E796" s="561"/>
      <c r="F796" s="561"/>
      <c r="G796" s="561"/>
      <c r="H796" s="561"/>
      <c r="I796" s="561"/>
      <c r="J796" s="561"/>
      <c r="K796" s="562"/>
      <c r="L796" s="563"/>
      <c r="M796" s="563"/>
      <c r="N796" s="563"/>
      <c r="O796" s="564"/>
      <c r="P796" s="564"/>
    </row>
    <row r="797" spans="1:16" ht="21.75" customHeight="1" x14ac:dyDescent="0.25">
      <c r="A797" s="560"/>
      <c r="B797" s="560"/>
      <c r="C797" s="560"/>
      <c r="D797" s="560"/>
      <c r="E797" s="561"/>
      <c r="F797" s="561"/>
      <c r="G797" s="561"/>
      <c r="H797" s="561"/>
      <c r="I797" s="561"/>
      <c r="J797" s="561"/>
      <c r="K797" s="562"/>
      <c r="L797" s="563"/>
      <c r="M797" s="563"/>
      <c r="N797" s="563"/>
      <c r="O797" s="564"/>
      <c r="P797" s="564"/>
    </row>
    <row r="798" spans="1:16" ht="21.75" customHeight="1" x14ac:dyDescent="0.25">
      <c r="A798" s="560"/>
      <c r="B798" s="560"/>
      <c r="C798" s="560"/>
      <c r="D798" s="560"/>
      <c r="E798" s="561"/>
      <c r="F798" s="561"/>
      <c r="G798" s="561"/>
      <c r="H798" s="561"/>
      <c r="I798" s="561"/>
      <c r="J798" s="561"/>
      <c r="K798" s="562"/>
      <c r="L798" s="563"/>
      <c r="M798" s="563"/>
      <c r="N798" s="563"/>
      <c r="O798" s="564"/>
      <c r="P798" s="564"/>
    </row>
    <row r="799" spans="1:16" ht="21.75" customHeight="1" x14ac:dyDescent="0.25">
      <c r="A799" s="560"/>
      <c r="B799" s="560"/>
      <c r="C799" s="560"/>
      <c r="D799" s="560"/>
      <c r="E799" s="561"/>
      <c r="F799" s="561"/>
      <c r="G799" s="561"/>
      <c r="H799" s="561"/>
      <c r="I799" s="561"/>
      <c r="J799" s="561"/>
      <c r="K799" s="562"/>
      <c r="L799" s="563"/>
      <c r="M799" s="563"/>
      <c r="N799" s="563"/>
      <c r="O799" s="564"/>
      <c r="P799" s="564"/>
    </row>
    <row r="800" spans="1:16" ht="21.75" customHeight="1" x14ac:dyDescent="0.25">
      <c r="A800" s="560"/>
      <c r="B800" s="560"/>
      <c r="C800" s="560"/>
      <c r="D800" s="560"/>
      <c r="E800" s="561"/>
      <c r="F800" s="561"/>
      <c r="G800" s="561"/>
      <c r="H800" s="561"/>
      <c r="I800" s="561"/>
      <c r="J800" s="561"/>
      <c r="K800" s="562"/>
      <c r="L800" s="563"/>
      <c r="M800" s="563"/>
      <c r="N800" s="563"/>
      <c r="O800" s="564"/>
      <c r="P800" s="564"/>
    </row>
    <row r="801" spans="1:16" ht="21.75" customHeight="1" x14ac:dyDescent="0.25">
      <c r="A801" s="560"/>
      <c r="B801" s="560"/>
      <c r="C801" s="560"/>
      <c r="D801" s="560"/>
      <c r="E801" s="561"/>
      <c r="F801" s="561"/>
      <c r="G801" s="561"/>
      <c r="H801" s="561"/>
      <c r="I801" s="561"/>
      <c r="J801" s="561"/>
      <c r="K801" s="562"/>
      <c r="L801" s="563"/>
      <c r="M801" s="563"/>
      <c r="N801" s="563"/>
      <c r="O801" s="564"/>
      <c r="P801" s="564"/>
    </row>
    <row r="802" spans="1:16" ht="21.75" customHeight="1" x14ac:dyDescent="0.25">
      <c r="A802" s="560"/>
      <c r="B802" s="560"/>
      <c r="C802" s="560"/>
      <c r="D802" s="560"/>
      <c r="E802" s="561"/>
      <c r="F802" s="561"/>
      <c r="G802" s="561"/>
      <c r="H802" s="561"/>
      <c r="I802" s="561"/>
      <c r="J802" s="561"/>
      <c r="K802" s="562"/>
      <c r="L802" s="563"/>
      <c r="M802" s="563"/>
      <c r="N802" s="563"/>
      <c r="O802" s="564"/>
      <c r="P802" s="564"/>
    </row>
    <row r="803" spans="1:16" ht="21.75" customHeight="1" x14ac:dyDescent="0.25">
      <c r="A803" s="560"/>
      <c r="B803" s="560"/>
      <c r="C803" s="560"/>
      <c r="D803" s="560"/>
      <c r="E803" s="561"/>
      <c r="F803" s="561"/>
      <c r="G803" s="561"/>
      <c r="H803" s="561"/>
      <c r="I803" s="561"/>
      <c r="J803" s="561"/>
      <c r="K803" s="562"/>
      <c r="L803" s="563"/>
      <c r="M803" s="563"/>
      <c r="N803" s="563"/>
      <c r="O803" s="564"/>
      <c r="P803" s="564"/>
    </row>
    <row r="804" spans="1:16" ht="21.75" customHeight="1" x14ac:dyDescent="0.25">
      <c r="A804" s="560"/>
      <c r="B804" s="560"/>
      <c r="C804" s="560"/>
      <c r="D804" s="560"/>
      <c r="E804" s="561"/>
      <c r="F804" s="561"/>
      <c r="G804" s="561"/>
      <c r="H804" s="561"/>
      <c r="I804" s="561"/>
      <c r="J804" s="561"/>
      <c r="K804" s="562"/>
      <c r="L804" s="563"/>
      <c r="M804" s="563"/>
      <c r="N804" s="563"/>
      <c r="O804" s="564"/>
      <c r="P804" s="564"/>
    </row>
    <row r="805" spans="1:16" ht="21.75" customHeight="1" x14ac:dyDescent="0.25">
      <c r="A805" s="560"/>
      <c r="B805" s="560"/>
      <c r="C805" s="560"/>
      <c r="D805" s="560"/>
      <c r="E805" s="561"/>
      <c r="F805" s="561"/>
      <c r="G805" s="561"/>
      <c r="H805" s="561"/>
      <c r="I805" s="561"/>
      <c r="J805" s="561"/>
      <c r="K805" s="562"/>
      <c r="L805" s="563"/>
      <c r="M805" s="563"/>
      <c r="N805" s="563"/>
      <c r="O805" s="564"/>
      <c r="P805" s="564"/>
    </row>
    <row r="806" spans="1:16" ht="21.75" customHeight="1" x14ac:dyDescent="0.25">
      <c r="A806" s="560"/>
      <c r="B806" s="560"/>
      <c r="C806" s="560"/>
      <c r="D806" s="560"/>
      <c r="E806" s="561"/>
      <c r="F806" s="561"/>
      <c r="G806" s="561"/>
      <c r="H806" s="561"/>
      <c r="I806" s="561"/>
      <c r="J806" s="561"/>
      <c r="K806" s="562"/>
      <c r="L806" s="563"/>
      <c r="M806" s="563"/>
      <c r="N806" s="563"/>
      <c r="O806" s="564"/>
      <c r="P806" s="564"/>
    </row>
    <row r="807" spans="1:16" ht="21.75" customHeight="1" x14ac:dyDescent="0.25">
      <c r="A807" s="560"/>
      <c r="B807" s="560"/>
      <c r="C807" s="560"/>
      <c r="D807" s="560"/>
      <c r="E807" s="561"/>
      <c r="F807" s="561"/>
      <c r="G807" s="561"/>
      <c r="H807" s="561"/>
      <c r="I807" s="561"/>
      <c r="J807" s="561"/>
      <c r="K807" s="562"/>
      <c r="L807" s="563"/>
      <c r="M807" s="563"/>
      <c r="N807" s="563"/>
      <c r="O807" s="564"/>
      <c r="P807" s="564"/>
    </row>
    <row r="808" spans="1:16" ht="21.75" customHeight="1" x14ac:dyDescent="0.25">
      <c r="A808" s="560"/>
      <c r="B808" s="560"/>
      <c r="C808" s="560"/>
      <c r="D808" s="560"/>
      <c r="E808" s="561"/>
      <c r="F808" s="561"/>
      <c r="G808" s="561"/>
      <c r="H808" s="561"/>
      <c r="I808" s="561"/>
      <c r="J808" s="561"/>
      <c r="K808" s="562"/>
      <c r="L808" s="563"/>
      <c r="M808" s="563"/>
      <c r="N808" s="563"/>
      <c r="O808" s="564"/>
      <c r="P808" s="564"/>
    </row>
    <row r="809" spans="1:16" ht="21.75" customHeight="1" x14ac:dyDescent="0.25">
      <c r="A809" s="560"/>
      <c r="B809" s="560"/>
      <c r="C809" s="560"/>
      <c r="D809" s="560"/>
      <c r="E809" s="561"/>
      <c r="F809" s="561"/>
      <c r="G809" s="561"/>
      <c r="H809" s="561"/>
      <c r="I809" s="561"/>
      <c r="J809" s="561"/>
      <c r="K809" s="562"/>
      <c r="L809" s="563"/>
      <c r="M809" s="563"/>
      <c r="N809" s="563"/>
      <c r="O809" s="564"/>
      <c r="P809" s="564"/>
    </row>
    <row r="810" spans="1:16" ht="21.75" customHeight="1" x14ac:dyDescent="0.25">
      <c r="A810" s="560"/>
      <c r="B810" s="560"/>
      <c r="C810" s="560"/>
      <c r="D810" s="560"/>
      <c r="E810" s="561"/>
      <c r="F810" s="561"/>
      <c r="G810" s="561"/>
      <c r="H810" s="561"/>
      <c r="I810" s="561"/>
      <c r="J810" s="561"/>
      <c r="K810" s="562"/>
      <c r="L810" s="563"/>
      <c r="M810" s="563"/>
      <c r="N810" s="563"/>
      <c r="O810" s="564"/>
      <c r="P810" s="564"/>
    </row>
    <row r="811" spans="1:16" ht="21.75" customHeight="1" x14ac:dyDescent="0.25">
      <c r="A811" s="560"/>
      <c r="B811" s="560"/>
      <c r="C811" s="560"/>
      <c r="D811" s="560"/>
      <c r="E811" s="561"/>
      <c r="F811" s="561"/>
      <c r="G811" s="561"/>
      <c r="H811" s="561"/>
      <c r="I811" s="561"/>
      <c r="J811" s="561"/>
      <c r="K811" s="562"/>
      <c r="L811" s="563"/>
      <c r="M811" s="563"/>
      <c r="N811" s="563"/>
      <c r="O811" s="564"/>
      <c r="P811" s="564"/>
    </row>
    <row r="812" spans="1:16" ht="21.75" customHeight="1" x14ac:dyDescent="0.25">
      <c r="A812" s="560"/>
      <c r="B812" s="560"/>
      <c r="C812" s="560"/>
      <c r="D812" s="560"/>
      <c r="E812" s="561"/>
      <c r="F812" s="561"/>
      <c r="G812" s="561"/>
      <c r="H812" s="561"/>
      <c r="I812" s="561"/>
      <c r="J812" s="561"/>
      <c r="K812" s="562"/>
      <c r="L812" s="563"/>
      <c r="M812" s="563"/>
      <c r="N812" s="563"/>
      <c r="O812" s="564"/>
      <c r="P812" s="564"/>
    </row>
    <row r="813" spans="1:16" ht="21.75" customHeight="1" x14ac:dyDescent="0.25">
      <c r="A813" s="560"/>
      <c r="B813" s="560"/>
      <c r="C813" s="560"/>
      <c r="D813" s="560"/>
      <c r="E813" s="561"/>
      <c r="F813" s="561"/>
      <c r="G813" s="561"/>
      <c r="H813" s="561"/>
      <c r="I813" s="561"/>
      <c r="J813" s="561"/>
      <c r="K813" s="562"/>
      <c r="L813" s="563"/>
      <c r="M813" s="563"/>
      <c r="N813" s="563"/>
      <c r="O813" s="564"/>
      <c r="P813" s="564"/>
    </row>
    <row r="814" spans="1:16" ht="21.75" customHeight="1" x14ac:dyDescent="0.25">
      <c r="A814" s="560"/>
      <c r="B814" s="560"/>
      <c r="C814" s="560"/>
      <c r="D814" s="560"/>
      <c r="E814" s="561"/>
      <c r="F814" s="561"/>
      <c r="G814" s="561"/>
      <c r="H814" s="561"/>
      <c r="I814" s="561"/>
      <c r="J814" s="561"/>
      <c r="K814" s="562"/>
      <c r="L814" s="563"/>
      <c r="M814" s="563"/>
      <c r="N814" s="563"/>
      <c r="O814" s="564"/>
      <c r="P814" s="564"/>
    </row>
    <row r="815" spans="1:16" ht="21.75" customHeight="1" x14ac:dyDescent="0.25">
      <c r="A815" s="560"/>
      <c r="B815" s="560"/>
      <c r="C815" s="560"/>
      <c r="D815" s="560"/>
      <c r="E815" s="561"/>
      <c r="F815" s="561"/>
      <c r="G815" s="561"/>
      <c r="H815" s="561"/>
      <c r="I815" s="561"/>
      <c r="J815" s="561"/>
      <c r="K815" s="562"/>
      <c r="L815" s="563"/>
      <c r="M815" s="563"/>
      <c r="N815" s="563"/>
      <c r="O815" s="564"/>
      <c r="P815" s="564"/>
    </row>
    <row r="816" spans="1:16" ht="21.75" customHeight="1" x14ac:dyDescent="0.25">
      <c r="A816" s="560"/>
      <c r="B816" s="560"/>
      <c r="C816" s="560"/>
      <c r="D816" s="560"/>
      <c r="E816" s="561"/>
      <c r="F816" s="561"/>
      <c r="G816" s="561"/>
      <c r="H816" s="561"/>
      <c r="I816" s="561"/>
      <c r="J816" s="561"/>
      <c r="K816" s="562"/>
      <c r="L816" s="563"/>
      <c r="M816" s="563"/>
      <c r="N816" s="563"/>
      <c r="O816" s="564"/>
      <c r="P816" s="564"/>
    </row>
    <row r="817" spans="1:16" ht="21.75" customHeight="1" x14ac:dyDescent="0.25">
      <c r="A817" s="560"/>
      <c r="B817" s="560"/>
      <c r="C817" s="560"/>
      <c r="D817" s="560"/>
      <c r="E817" s="561"/>
      <c r="F817" s="561"/>
      <c r="G817" s="561"/>
      <c r="H817" s="561"/>
      <c r="I817" s="561"/>
      <c r="J817" s="561"/>
      <c r="K817" s="562"/>
      <c r="L817" s="563"/>
      <c r="M817" s="563"/>
      <c r="N817" s="563"/>
      <c r="O817" s="564"/>
      <c r="P817" s="564"/>
    </row>
    <row r="818" spans="1:16" ht="21.75" customHeight="1" x14ac:dyDescent="0.25">
      <c r="A818" s="560"/>
      <c r="B818" s="560"/>
      <c r="C818" s="560"/>
      <c r="D818" s="560"/>
      <c r="E818" s="561"/>
      <c r="F818" s="561"/>
      <c r="G818" s="561"/>
      <c r="H818" s="561"/>
      <c r="I818" s="561"/>
      <c r="J818" s="561"/>
      <c r="K818" s="562"/>
      <c r="L818" s="563"/>
      <c r="M818" s="563"/>
      <c r="N818" s="563"/>
      <c r="O818" s="564"/>
      <c r="P818" s="564"/>
    </row>
    <row r="819" spans="1:16" ht="21.75" customHeight="1" x14ac:dyDescent="0.25">
      <c r="A819" s="560"/>
      <c r="B819" s="560"/>
      <c r="C819" s="560"/>
      <c r="D819" s="560"/>
      <c r="E819" s="561"/>
      <c r="F819" s="561"/>
      <c r="G819" s="561"/>
      <c r="H819" s="561"/>
      <c r="I819" s="561"/>
      <c r="J819" s="561"/>
      <c r="K819" s="562"/>
      <c r="L819" s="563"/>
      <c r="M819" s="563"/>
      <c r="N819" s="563"/>
      <c r="O819" s="564"/>
      <c r="P819" s="564"/>
    </row>
    <row r="820" spans="1:16" ht="21.75" customHeight="1" x14ac:dyDescent="0.25">
      <c r="A820" s="560"/>
      <c r="B820" s="560"/>
      <c r="C820" s="560"/>
      <c r="D820" s="560"/>
      <c r="E820" s="561"/>
      <c r="F820" s="561"/>
      <c r="G820" s="561"/>
      <c r="H820" s="561"/>
      <c r="I820" s="561"/>
      <c r="J820" s="561"/>
      <c r="K820" s="562"/>
      <c r="L820" s="563"/>
      <c r="M820" s="563"/>
      <c r="N820" s="563"/>
      <c r="O820" s="564"/>
      <c r="P820" s="564"/>
    </row>
    <row r="821" spans="1:16" ht="21.75" customHeight="1" x14ac:dyDescent="0.25">
      <c r="A821" s="560"/>
      <c r="B821" s="560"/>
      <c r="C821" s="560"/>
      <c r="D821" s="560"/>
      <c r="E821" s="561"/>
      <c r="F821" s="561"/>
      <c r="G821" s="561"/>
      <c r="H821" s="561"/>
      <c r="I821" s="561"/>
      <c r="J821" s="561"/>
      <c r="K821" s="562"/>
      <c r="L821" s="563"/>
      <c r="M821" s="563"/>
      <c r="N821" s="563"/>
      <c r="O821" s="564"/>
      <c r="P821" s="564"/>
    </row>
    <row r="822" spans="1:16" ht="21.75" customHeight="1" x14ac:dyDescent="0.25">
      <c r="A822" s="560"/>
      <c r="B822" s="560"/>
      <c r="C822" s="560"/>
      <c r="D822" s="560"/>
      <c r="E822" s="561"/>
      <c r="F822" s="561"/>
      <c r="G822" s="561"/>
      <c r="H822" s="561"/>
      <c r="I822" s="561"/>
      <c r="J822" s="561"/>
      <c r="K822" s="562"/>
      <c r="L822" s="563"/>
      <c r="M822" s="563"/>
      <c r="N822" s="563"/>
      <c r="O822" s="564"/>
      <c r="P822" s="564"/>
    </row>
    <row r="823" spans="1:16" ht="21.75" customHeight="1" x14ac:dyDescent="0.25">
      <c r="A823" s="560"/>
      <c r="B823" s="560"/>
      <c r="C823" s="560"/>
      <c r="D823" s="560"/>
      <c r="E823" s="561"/>
      <c r="F823" s="561"/>
      <c r="G823" s="561"/>
      <c r="H823" s="561"/>
      <c r="I823" s="561"/>
      <c r="J823" s="561"/>
      <c r="K823" s="562"/>
      <c r="L823" s="563"/>
      <c r="M823" s="563"/>
      <c r="N823" s="563"/>
      <c r="O823" s="564"/>
      <c r="P823" s="564"/>
    </row>
    <row r="824" spans="1:16" ht="21.75" customHeight="1" x14ac:dyDescent="0.25">
      <c r="A824" s="560"/>
      <c r="B824" s="560"/>
      <c r="C824" s="560"/>
      <c r="D824" s="560"/>
      <c r="E824" s="561"/>
      <c r="F824" s="561"/>
      <c r="G824" s="561"/>
      <c r="H824" s="561"/>
      <c r="I824" s="561"/>
      <c r="J824" s="561"/>
      <c r="K824" s="562"/>
      <c r="L824" s="563"/>
      <c r="M824" s="563"/>
      <c r="N824" s="563"/>
      <c r="O824" s="564"/>
      <c r="P824" s="564"/>
    </row>
    <row r="825" spans="1:16" ht="21.75" customHeight="1" x14ac:dyDescent="0.25">
      <c r="A825" s="560"/>
      <c r="B825" s="560"/>
      <c r="C825" s="560"/>
      <c r="D825" s="560"/>
      <c r="E825" s="561"/>
      <c r="F825" s="561"/>
      <c r="G825" s="561"/>
      <c r="H825" s="561"/>
      <c r="I825" s="561"/>
      <c r="J825" s="561"/>
      <c r="K825" s="562"/>
      <c r="L825" s="563"/>
      <c r="M825" s="563"/>
      <c r="N825" s="563"/>
      <c r="O825" s="564"/>
      <c r="P825" s="564"/>
    </row>
    <row r="826" spans="1:16" ht="21.75" customHeight="1" x14ac:dyDescent="0.25">
      <c r="A826" s="560"/>
      <c r="B826" s="560"/>
      <c r="C826" s="560"/>
      <c r="D826" s="560"/>
      <c r="E826" s="561"/>
      <c r="F826" s="561"/>
      <c r="G826" s="561"/>
      <c r="H826" s="561"/>
      <c r="I826" s="561"/>
      <c r="J826" s="561"/>
      <c r="K826" s="562"/>
      <c r="L826" s="563"/>
      <c r="M826" s="563"/>
      <c r="N826" s="563"/>
      <c r="O826" s="564"/>
      <c r="P826" s="564"/>
    </row>
    <row r="827" spans="1:16" ht="21.75" customHeight="1" x14ac:dyDescent="0.25">
      <c r="A827" s="560"/>
      <c r="B827" s="560"/>
      <c r="C827" s="560"/>
      <c r="D827" s="560"/>
      <c r="E827" s="561"/>
      <c r="F827" s="561"/>
      <c r="G827" s="561"/>
      <c r="H827" s="561"/>
      <c r="I827" s="561"/>
      <c r="J827" s="561"/>
      <c r="K827" s="562"/>
      <c r="L827" s="563"/>
      <c r="M827" s="563"/>
      <c r="N827" s="563"/>
      <c r="O827" s="564"/>
      <c r="P827" s="564"/>
    </row>
    <row r="828" spans="1:16" ht="21.75" customHeight="1" x14ac:dyDescent="0.25">
      <c r="A828" s="560"/>
      <c r="B828" s="560"/>
      <c r="C828" s="560"/>
      <c r="D828" s="560"/>
      <c r="E828" s="561"/>
      <c r="F828" s="561"/>
      <c r="G828" s="561"/>
      <c r="H828" s="561"/>
      <c r="I828" s="561"/>
      <c r="J828" s="561"/>
      <c r="K828" s="562"/>
      <c r="L828" s="563"/>
      <c r="M828" s="563"/>
      <c r="N828" s="563"/>
      <c r="O828" s="564"/>
      <c r="P828" s="564"/>
    </row>
    <row r="829" spans="1:16" ht="21.75" customHeight="1" x14ac:dyDescent="0.25">
      <c r="A829" s="560"/>
      <c r="B829" s="560"/>
      <c r="C829" s="560"/>
      <c r="D829" s="560"/>
      <c r="E829" s="561"/>
      <c r="F829" s="561"/>
      <c r="G829" s="561"/>
      <c r="H829" s="561"/>
      <c r="I829" s="561"/>
      <c r="J829" s="561"/>
      <c r="K829" s="562"/>
      <c r="L829" s="563"/>
      <c r="M829" s="563"/>
      <c r="N829" s="563"/>
      <c r="O829" s="564"/>
      <c r="P829" s="564"/>
    </row>
    <row r="830" spans="1:16" ht="21.75" customHeight="1" x14ac:dyDescent="0.25">
      <c r="A830" s="560"/>
      <c r="B830" s="560"/>
      <c r="C830" s="560"/>
      <c r="D830" s="560"/>
      <c r="E830" s="561"/>
      <c r="F830" s="561"/>
      <c r="G830" s="561"/>
      <c r="H830" s="561"/>
      <c r="I830" s="561"/>
      <c r="J830" s="561"/>
      <c r="K830" s="562"/>
      <c r="L830" s="563"/>
      <c r="M830" s="563"/>
      <c r="N830" s="563"/>
      <c r="O830" s="564"/>
      <c r="P830" s="564"/>
    </row>
    <row r="831" spans="1:16" ht="21.75" customHeight="1" x14ac:dyDescent="0.25">
      <c r="A831" s="560"/>
      <c r="B831" s="560"/>
      <c r="C831" s="560"/>
      <c r="D831" s="560"/>
      <c r="E831" s="561"/>
      <c r="F831" s="561"/>
      <c r="G831" s="561"/>
      <c r="H831" s="561"/>
      <c r="I831" s="561"/>
      <c r="J831" s="561"/>
      <c r="K831" s="562"/>
      <c r="L831" s="563"/>
      <c r="M831" s="563"/>
      <c r="N831" s="563"/>
      <c r="O831" s="564"/>
      <c r="P831" s="564"/>
    </row>
    <row r="832" spans="1:16" ht="21.75" customHeight="1" x14ac:dyDescent="0.25">
      <c r="A832" s="560"/>
      <c r="B832" s="560"/>
      <c r="C832" s="560"/>
      <c r="D832" s="560"/>
      <c r="E832" s="561"/>
      <c r="F832" s="561"/>
      <c r="G832" s="561"/>
      <c r="H832" s="561"/>
      <c r="I832" s="561"/>
      <c r="J832" s="561"/>
      <c r="K832" s="562"/>
      <c r="L832" s="563"/>
      <c r="M832" s="563"/>
      <c r="N832" s="563"/>
      <c r="O832" s="564"/>
      <c r="P832" s="564"/>
    </row>
    <row r="833" spans="1:16" ht="21.75" customHeight="1" x14ac:dyDescent="0.25">
      <c r="A833" s="560"/>
      <c r="B833" s="560"/>
      <c r="C833" s="560"/>
      <c r="D833" s="560"/>
      <c r="E833" s="561"/>
      <c r="F833" s="561"/>
      <c r="G833" s="561"/>
      <c r="H833" s="561"/>
      <c r="I833" s="561"/>
      <c r="J833" s="561"/>
      <c r="K833" s="562"/>
      <c r="L833" s="563"/>
      <c r="M833" s="563"/>
      <c r="N833" s="563"/>
      <c r="O833" s="564"/>
      <c r="P833" s="564"/>
    </row>
    <row r="834" spans="1:16" ht="21.75" customHeight="1" x14ac:dyDescent="0.25">
      <c r="A834" s="560"/>
      <c r="B834" s="560"/>
      <c r="C834" s="560"/>
      <c r="D834" s="560"/>
      <c r="E834" s="561"/>
      <c r="F834" s="561"/>
      <c r="G834" s="561"/>
      <c r="H834" s="561"/>
      <c r="I834" s="561"/>
      <c r="J834" s="561"/>
      <c r="K834" s="562"/>
      <c r="L834" s="563"/>
      <c r="M834" s="563"/>
      <c r="N834" s="563"/>
      <c r="O834" s="564"/>
      <c r="P834" s="564"/>
    </row>
    <row r="835" spans="1:16" ht="21.75" customHeight="1" x14ac:dyDescent="0.25">
      <c r="A835" s="560"/>
      <c r="B835" s="560"/>
      <c r="C835" s="560"/>
      <c r="D835" s="560"/>
      <c r="E835" s="561"/>
      <c r="F835" s="561"/>
      <c r="G835" s="561"/>
      <c r="H835" s="561"/>
      <c r="I835" s="561"/>
      <c r="J835" s="561"/>
      <c r="K835" s="562"/>
      <c r="L835" s="563"/>
      <c r="M835" s="563"/>
      <c r="N835" s="563"/>
      <c r="O835" s="564"/>
      <c r="P835" s="564"/>
    </row>
    <row r="836" spans="1:16" ht="21.75" customHeight="1" x14ac:dyDescent="0.25">
      <c r="A836" s="560"/>
      <c r="B836" s="560"/>
      <c r="C836" s="560"/>
      <c r="D836" s="560"/>
      <c r="E836" s="561"/>
      <c r="F836" s="561"/>
      <c r="G836" s="561"/>
      <c r="H836" s="561"/>
      <c r="I836" s="561"/>
      <c r="J836" s="561"/>
      <c r="K836" s="562"/>
      <c r="L836" s="563"/>
      <c r="M836" s="563"/>
      <c r="N836" s="563"/>
      <c r="O836" s="564"/>
      <c r="P836" s="564"/>
    </row>
    <row r="837" spans="1:16" ht="21.75" customHeight="1" x14ac:dyDescent="0.25">
      <c r="A837" s="560"/>
      <c r="B837" s="560"/>
      <c r="C837" s="560"/>
      <c r="D837" s="560"/>
      <c r="E837" s="561"/>
      <c r="F837" s="561"/>
      <c r="G837" s="561"/>
      <c r="H837" s="561"/>
      <c r="I837" s="561"/>
      <c r="J837" s="561"/>
      <c r="K837" s="562"/>
      <c r="L837" s="563"/>
      <c r="M837" s="563"/>
      <c r="N837" s="563"/>
      <c r="O837" s="564"/>
      <c r="P837" s="564"/>
    </row>
    <row r="838" spans="1:16" ht="21.75" customHeight="1" x14ac:dyDescent="0.25">
      <c r="A838" s="560"/>
      <c r="B838" s="560"/>
      <c r="C838" s="560"/>
      <c r="D838" s="560"/>
      <c r="E838" s="561"/>
      <c r="F838" s="561"/>
      <c r="G838" s="561"/>
      <c r="H838" s="561"/>
      <c r="I838" s="561"/>
      <c r="J838" s="561"/>
      <c r="K838" s="562"/>
      <c r="L838" s="563"/>
      <c r="M838" s="563"/>
      <c r="N838" s="563"/>
      <c r="O838" s="564"/>
      <c r="P838" s="564"/>
    </row>
    <row r="839" spans="1:16" ht="21.75" customHeight="1" x14ac:dyDescent="0.25">
      <c r="A839" s="560"/>
      <c r="B839" s="560"/>
      <c r="C839" s="560"/>
      <c r="D839" s="560"/>
      <c r="E839" s="561"/>
      <c r="F839" s="561"/>
      <c r="G839" s="561"/>
      <c r="H839" s="561"/>
      <c r="I839" s="561"/>
      <c r="J839" s="561"/>
      <c r="K839" s="562"/>
      <c r="L839" s="563"/>
      <c r="M839" s="563"/>
      <c r="N839" s="563"/>
      <c r="O839" s="564"/>
      <c r="P839" s="564"/>
    </row>
    <row r="840" spans="1:16" ht="21.75" customHeight="1" x14ac:dyDescent="0.25">
      <c r="A840" s="560"/>
      <c r="B840" s="560"/>
      <c r="C840" s="560"/>
      <c r="D840" s="560"/>
      <c r="E840" s="561"/>
      <c r="F840" s="561"/>
      <c r="G840" s="561"/>
      <c r="H840" s="561"/>
      <c r="I840" s="561"/>
      <c r="J840" s="561"/>
      <c r="K840" s="562"/>
      <c r="L840" s="563"/>
      <c r="M840" s="563"/>
      <c r="N840" s="563"/>
      <c r="O840" s="564"/>
      <c r="P840" s="564"/>
    </row>
    <row r="841" spans="1:16" ht="21.75" customHeight="1" x14ac:dyDescent="0.25">
      <c r="A841" s="560"/>
      <c r="B841" s="560"/>
      <c r="C841" s="560"/>
      <c r="D841" s="560"/>
      <c r="E841" s="561"/>
      <c r="F841" s="561"/>
      <c r="G841" s="561"/>
      <c r="H841" s="561"/>
      <c r="I841" s="561"/>
      <c r="J841" s="561"/>
      <c r="K841" s="562"/>
      <c r="L841" s="563"/>
      <c r="M841" s="563"/>
      <c r="N841" s="563"/>
      <c r="O841" s="564"/>
      <c r="P841" s="564"/>
    </row>
    <row r="842" spans="1:16" ht="21.75" customHeight="1" x14ac:dyDescent="0.25">
      <c r="A842" s="560"/>
      <c r="B842" s="560"/>
      <c r="C842" s="560"/>
      <c r="D842" s="560"/>
      <c r="E842" s="561"/>
      <c r="F842" s="561"/>
      <c r="G842" s="561"/>
      <c r="H842" s="561"/>
      <c r="I842" s="561"/>
      <c r="J842" s="561"/>
      <c r="K842" s="562"/>
      <c r="L842" s="563"/>
      <c r="M842" s="563"/>
      <c r="N842" s="563"/>
      <c r="O842" s="564"/>
      <c r="P842" s="564"/>
    </row>
    <row r="843" spans="1:16" ht="21.75" customHeight="1" x14ac:dyDescent="0.25">
      <c r="A843" s="560"/>
      <c r="B843" s="560"/>
      <c r="C843" s="560"/>
      <c r="D843" s="560"/>
      <c r="E843" s="561"/>
      <c r="F843" s="561"/>
      <c r="G843" s="561"/>
      <c r="H843" s="561"/>
      <c r="I843" s="561"/>
      <c r="J843" s="561"/>
      <c r="K843" s="562"/>
      <c r="L843" s="563"/>
      <c r="M843" s="563"/>
      <c r="N843" s="563"/>
      <c r="O843" s="564"/>
      <c r="P843" s="564"/>
    </row>
    <row r="844" spans="1:16" ht="21.75" customHeight="1" x14ac:dyDescent="0.25">
      <c r="A844" s="560"/>
      <c r="B844" s="560"/>
      <c r="C844" s="560"/>
      <c r="D844" s="560"/>
      <c r="E844" s="561"/>
      <c r="F844" s="561"/>
      <c r="G844" s="561"/>
      <c r="H844" s="561"/>
      <c r="I844" s="561"/>
      <c r="J844" s="561"/>
      <c r="K844" s="562"/>
      <c r="L844" s="563"/>
      <c r="M844" s="563"/>
      <c r="N844" s="563"/>
      <c r="O844" s="564"/>
      <c r="P844" s="564"/>
    </row>
    <row r="845" spans="1:16" ht="21.75" customHeight="1" x14ac:dyDescent="0.25">
      <c r="A845" s="560"/>
      <c r="B845" s="560"/>
      <c r="C845" s="560"/>
      <c r="D845" s="560"/>
      <c r="E845" s="561"/>
      <c r="F845" s="561"/>
      <c r="G845" s="561"/>
      <c r="H845" s="561"/>
      <c r="I845" s="561"/>
      <c r="J845" s="561"/>
      <c r="K845" s="562"/>
      <c r="L845" s="563"/>
      <c r="M845" s="563"/>
      <c r="N845" s="563"/>
      <c r="O845" s="564"/>
      <c r="P845" s="564"/>
    </row>
    <row r="846" spans="1:16" ht="21.75" customHeight="1" x14ac:dyDescent="0.25">
      <c r="A846" s="560"/>
      <c r="B846" s="560"/>
      <c r="C846" s="560"/>
      <c r="D846" s="560"/>
      <c r="E846" s="561"/>
      <c r="F846" s="561"/>
      <c r="G846" s="561"/>
      <c r="H846" s="561"/>
      <c r="I846" s="561"/>
      <c r="J846" s="561"/>
      <c r="K846" s="562"/>
      <c r="L846" s="563"/>
      <c r="M846" s="563"/>
      <c r="N846" s="563"/>
      <c r="O846" s="564"/>
      <c r="P846" s="564"/>
    </row>
    <row r="847" spans="1:16" ht="21.75" customHeight="1" x14ac:dyDescent="0.25">
      <c r="A847" s="560"/>
      <c r="B847" s="560"/>
      <c r="C847" s="560"/>
      <c r="D847" s="560"/>
      <c r="E847" s="561"/>
      <c r="F847" s="561"/>
      <c r="G847" s="561"/>
      <c r="H847" s="561"/>
      <c r="I847" s="561"/>
      <c r="J847" s="561"/>
      <c r="K847" s="562"/>
      <c r="L847" s="563"/>
      <c r="M847" s="563"/>
      <c r="N847" s="563"/>
      <c r="O847" s="564"/>
      <c r="P847" s="564"/>
    </row>
    <row r="848" spans="1:16" ht="21.75" customHeight="1" x14ac:dyDescent="0.25">
      <c r="A848" s="560"/>
      <c r="B848" s="560"/>
      <c r="C848" s="560"/>
      <c r="D848" s="560"/>
      <c r="E848" s="561"/>
      <c r="F848" s="561"/>
      <c r="G848" s="561"/>
      <c r="H848" s="561"/>
      <c r="I848" s="561"/>
      <c r="J848" s="561"/>
      <c r="K848" s="562"/>
      <c r="L848" s="563"/>
      <c r="M848" s="563"/>
      <c r="N848" s="563"/>
      <c r="O848" s="564"/>
      <c r="P848" s="564"/>
    </row>
    <row r="849" spans="1:16" ht="21.75" customHeight="1" x14ac:dyDescent="0.25">
      <c r="A849" s="560"/>
      <c r="B849" s="560"/>
      <c r="C849" s="560"/>
      <c r="D849" s="560"/>
      <c r="E849" s="561"/>
      <c r="F849" s="561"/>
      <c r="G849" s="561"/>
      <c r="H849" s="561"/>
      <c r="I849" s="561"/>
      <c r="J849" s="561"/>
      <c r="K849" s="562"/>
      <c r="L849" s="563"/>
      <c r="M849" s="563"/>
      <c r="N849" s="563"/>
      <c r="O849" s="564"/>
      <c r="P849" s="564"/>
    </row>
    <row r="850" spans="1:16" ht="21.75" customHeight="1" x14ac:dyDescent="0.25">
      <c r="A850" s="560"/>
      <c r="B850" s="560"/>
      <c r="C850" s="560"/>
      <c r="D850" s="560"/>
      <c r="E850" s="561"/>
      <c r="F850" s="561"/>
      <c r="G850" s="561"/>
      <c r="H850" s="561"/>
      <c r="I850" s="561"/>
      <c r="J850" s="561"/>
      <c r="K850" s="562"/>
      <c r="L850" s="563"/>
      <c r="M850" s="563"/>
      <c r="N850" s="563"/>
      <c r="O850" s="564"/>
      <c r="P850" s="564"/>
    </row>
    <row r="851" spans="1:16" ht="21.75" customHeight="1" x14ac:dyDescent="0.25">
      <c r="A851" s="560"/>
      <c r="B851" s="560"/>
      <c r="C851" s="560"/>
      <c r="D851" s="560"/>
      <c r="E851" s="561"/>
      <c r="F851" s="561"/>
      <c r="G851" s="561"/>
      <c r="H851" s="561"/>
      <c r="I851" s="561"/>
      <c r="J851" s="561"/>
      <c r="K851" s="562"/>
      <c r="L851" s="563"/>
      <c r="M851" s="563"/>
      <c r="N851" s="563"/>
      <c r="O851" s="564"/>
      <c r="P851" s="564"/>
    </row>
    <row r="852" spans="1:16" ht="21.75" customHeight="1" x14ac:dyDescent="0.25">
      <c r="A852" s="560"/>
      <c r="B852" s="560"/>
      <c r="C852" s="560"/>
      <c r="D852" s="560"/>
      <c r="E852" s="561"/>
      <c r="F852" s="561"/>
      <c r="G852" s="561"/>
      <c r="H852" s="561"/>
      <c r="I852" s="561"/>
      <c r="J852" s="561"/>
      <c r="K852" s="562"/>
      <c r="L852" s="563"/>
      <c r="M852" s="563"/>
      <c r="N852" s="563"/>
      <c r="O852" s="564"/>
      <c r="P852" s="564"/>
    </row>
    <row r="853" spans="1:16" ht="21.75" customHeight="1" x14ac:dyDescent="0.25">
      <c r="A853" s="560"/>
      <c r="B853" s="560"/>
      <c r="C853" s="560"/>
      <c r="D853" s="560"/>
      <c r="E853" s="561"/>
      <c r="F853" s="561"/>
      <c r="G853" s="561"/>
      <c r="H853" s="561"/>
      <c r="I853" s="561"/>
      <c r="J853" s="561"/>
      <c r="K853" s="562"/>
      <c r="L853" s="563"/>
      <c r="M853" s="563"/>
      <c r="N853" s="563"/>
      <c r="O853" s="564"/>
      <c r="P853" s="564"/>
    </row>
    <row r="854" spans="1:16" ht="21.75" customHeight="1" x14ac:dyDescent="0.25">
      <c r="A854" s="560"/>
      <c r="B854" s="560"/>
      <c r="C854" s="560"/>
      <c r="D854" s="560"/>
      <c r="E854" s="561"/>
      <c r="F854" s="561"/>
      <c r="G854" s="561"/>
      <c r="H854" s="561"/>
      <c r="I854" s="561"/>
      <c r="J854" s="561"/>
      <c r="K854" s="562"/>
      <c r="L854" s="563"/>
      <c r="M854" s="563"/>
      <c r="N854" s="563"/>
      <c r="O854" s="564"/>
      <c r="P854" s="564"/>
    </row>
    <row r="855" spans="1:16" ht="21.75" customHeight="1" x14ac:dyDescent="0.25">
      <c r="A855" s="560"/>
      <c r="B855" s="560"/>
      <c r="C855" s="560"/>
      <c r="D855" s="560"/>
      <c r="E855" s="561"/>
      <c r="F855" s="561"/>
      <c r="G855" s="561"/>
      <c r="H855" s="561"/>
      <c r="I855" s="561"/>
      <c r="J855" s="561"/>
      <c r="K855" s="562"/>
      <c r="L855" s="563"/>
      <c r="M855" s="563"/>
      <c r="N855" s="563"/>
      <c r="O855" s="564"/>
      <c r="P855" s="564"/>
    </row>
    <row r="856" spans="1:16" ht="21.75" customHeight="1" x14ac:dyDescent="0.25">
      <c r="A856" s="560"/>
      <c r="B856" s="560"/>
      <c r="C856" s="560"/>
      <c r="D856" s="560"/>
      <c r="E856" s="561"/>
      <c r="F856" s="561"/>
      <c r="G856" s="561"/>
      <c r="H856" s="561"/>
      <c r="I856" s="561"/>
      <c r="J856" s="561"/>
      <c r="K856" s="562"/>
      <c r="L856" s="563"/>
      <c r="M856" s="563"/>
      <c r="N856" s="563"/>
      <c r="O856" s="564"/>
      <c r="P856" s="564"/>
    </row>
    <row r="857" spans="1:16" ht="21.75" customHeight="1" x14ac:dyDescent="0.25">
      <c r="A857" s="560"/>
      <c r="B857" s="560"/>
      <c r="C857" s="560"/>
      <c r="D857" s="560"/>
      <c r="E857" s="561"/>
      <c r="F857" s="561"/>
      <c r="G857" s="561"/>
      <c r="H857" s="561"/>
      <c r="I857" s="561"/>
      <c r="J857" s="561"/>
      <c r="K857" s="562"/>
      <c r="L857" s="563"/>
      <c r="M857" s="563"/>
      <c r="N857" s="563"/>
      <c r="O857" s="564"/>
      <c r="P857" s="564"/>
    </row>
    <row r="858" spans="1:16" ht="21.75" customHeight="1" x14ac:dyDescent="0.25">
      <c r="A858" s="560"/>
      <c r="B858" s="560"/>
      <c r="C858" s="560"/>
      <c r="D858" s="560"/>
      <c r="E858" s="561"/>
      <c r="F858" s="561"/>
      <c r="G858" s="561"/>
      <c r="H858" s="561"/>
      <c r="I858" s="561"/>
      <c r="J858" s="561"/>
      <c r="K858" s="562"/>
      <c r="L858" s="563"/>
      <c r="M858" s="563"/>
      <c r="N858" s="563"/>
      <c r="O858" s="564"/>
      <c r="P858" s="564"/>
    </row>
    <row r="859" spans="1:16" ht="21.75" customHeight="1" x14ac:dyDescent="0.25">
      <c r="A859" s="560"/>
      <c r="B859" s="560"/>
      <c r="C859" s="560"/>
      <c r="D859" s="560"/>
      <c r="E859" s="561"/>
      <c r="F859" s="561"/>
      <c r="G859" s="561"/>
      <c r="H859" s="561"/>
      <c r="I859" s="561"/>
      <c r="J859" s="561"/>
      <c r="K859" s="562"/>
      <c r="L859" s="563"/>
      <c r="M859" s="563"/>
      <c r="N859" s="563"/>
      <c r="O859" s="564"/>
      <c r="P859" s="564"/>
    </row>
    <row r="860" spans="1:16" ht="21.75" customHeight="1" x14ac:dyDescent="0.25">
      <c r="A860" s="560"/>
      <c r="B860" s="560"/>
      <c r="C860" s="560"/>
      <c r="D860" s="560"/>
      <c r="E860" s="561"/>
      <c r="F860" s="561"/>
      <c r="G860" s="561"/>
      <c r="H860" s="561"/>
      <c r="I860" s="561"/>
      <c r="J860" s="561"/>
      <c r="K860" s="562"/>
      <c r="L860" s="563"/>
      <c r="M860" s="563"/>
      <c r="N860" s="563"/>
      <c r="O860" s="564"/>
      <c r="P860" s="564"/>
    </row>
    <row r="861" spans="1:16" ht="21.75" customHeight="1" x14ac:dyDescent="0.25">
      <c r="A861" s="560"/>
      <c r="B861" s="560"/>
      <c r="C861" s="560"/>
      <c r="D861" s="560"/>
      <c r="E861" s="561"/>
      <c r="F861" s="561"/>
      <c r="G861" s="561"/>
      <c r="H861" s="561"/>
      <c r="I861" s="561"/>
      <c r="J861" s="561"/>
      <c r="K861" s="562"/>
      <c r="L861" s="563"/>
      <c r="M861" s="563"/>
      <c r="N861" s="563"/>
      <c r="O861" s="564"/>
      <c r="P861" s="564"/>
    </row>
    <row r="862" spans="1:16" ht="21.75" customHeight="1" x14ac:dyDescent="0.25">
      <c r="A862" s="560"/>
      <c r="B862" s="560"/>
      <c r="C862" s="560"/>
      <c r="D862" s="560"/>
      <c r="E862" s="561"/>
      <c r="F862" s="561"/>
      <c r="G862" s="561"/>
      <c r="H862" s="561"/>
      <c r="I862" s="561"/>
      <c r="J862" s="561"/>
      <c r="K862" s="562"/>
      <c r="L862" s="563"/>
      <c r="M862" s="563"/>
      <c r="N862" s="563"/>
      <c r="O862" s="564"/>
      <c r="P862" s="564"/>
    </row>
    <row r="863" spans="1:16" ht="21.75" customHeight="1" x14ac:dyDescent="0.25">
      <c r="A863" s="560"/>
      <c r="B863" s="560"/>
      <c r="C863" s="560"/>
      <c r="D863" s="560"/>
      <c r="E863" s="561"/>
      <c r="F863" s="561"/>
      <c r="G863" s="561"/>
      <c r="H863" s="561"/>
      <c r="I863" s="561"/>
      <c r="J863" s="561"/>
      <c r="K863" s="562"/>
      <c r="L863" s="563"/>
      <c r="M863" s="563"/>
      <c r="N863" s="563"/>
      <c r="O863" s="564"/>
      <c r="P863" s="564"/>
    </row>
    <row r="864" spans="1:16" ht="21.75" customHeight="1" x14ac:dyDescent="0.25">
      <c r="A864" s="560"/>
      <c r="B864" s="560"/>
      <c r="C864" s="560"/>
      <c r="D864" s="560"/>
      <c r="E864" s="561"/>
      <c r="F864" s="561"/>
      <c r="G864" s="561"/>
      <c r="H864" s="561"/>
      <c r="I864" s="561"/>
      <c r="J864" s="561"/>
      <c r="K864" s="562"/>
      <c r="L864" s="563"/>
      <c r="M864" s="563"/>
      <c r="N864" s="563"/>
      <c r="O864" s="564"/>
      <c r="P864" s="564"/>
    </row>
    <row r="865" spans="1:16" ht="21.75" customHeight="1" x14ac:dyDescent="0.25">
      <c r="A865" s="560"/>
      <c r="B865" s="560"/>
      <c r="C865" s="560"/>
      <c r="D865" s="560"/>
      <c r="E865" s="561"/>
      <c r="F865" s="561"/>
      <c r="G865" s="561"/>
      <c r="H865" s="561"/>
      <c r="I865" s="561"/>
      <c r="J865" s="561"/>
      <c r="K865" s="562"/>
      <c r="L865" s="563"/>
      <c r="M865" s="563"/>
      <c r="N865" s="563"/>
      <c r="O865" s="564"/>
      <c r="P865" s="564"/>
    </row>
    <row r="866" spans="1:16" ht="21.75" customHeight="1" x14ac:dyDescent="0.25">
      <c r="A866" s="560"/>
      <c r="B866" s="560"/>
      <c r="C866" s="560"/>
      <c r="D866" s="560"/>
      <c r="E866" s="561"/>
      <c r="F866" s="561"/>
      <c r="G866" s="561"/>
      <c r="H866" s="561"/>
      <c r="I866" s="561"/>
      <c r="J866" s="561"/>
      <c r="K866" s="562"/>
      <c r="L866" s="563"/>
      <c r="M866" s="563"/>
      <c r="N866" s="563"/>
      <c r="O866" s="564"/>
      <c r="P866" s="564"/>
    </row>
    <row r="867" spans="1:16" ht="21.75" customHeight="1" x14ac:dyDescent="0.25">
      <c r="A867" s="560"/>
      <c r="B867" s="560"/>
      <c r="C867" s="560"/>
      <c r="D867" s="560"/>
      <c r="E867" s="561"/>
      <c r="F867" s="561"/>
      <c r="G867" s="561"/>
      <c r="H867" s="561"/>
      <c r="I867" s="561"/>
      <c r="J867" s="561"/>
      <c r="K867" s="562"/>
      <c r="L867" s="563"/>
      <c r="M867" s="563"/>
      <c r="N867" s="563"/>
      <c r="O867" s="564"/>
      <c r="P867" s="564"/>
    </row>
    <row r="868" spans="1:16" ht="21.75" customHeight="1" x14ac:dyDescent="0.25">
      <c r="A868" s="560"/>
      <c r="B868" s="560"/>
      <c r="C868" s="560"/>
      <c r="D868" s="560"/>
      <c r="E868" s="561"/>
      <c r="F868" s="561"/>
      <c r="G868" s="561"/>
      <c r="H868" s="561"/>
      <c r="I868" s="561"/>
      <c r="J868" s="561"/>
      <c r="K868" s="562"/>
      <c r="L868" s="563"/>
      <c r="M868" s="563"/>
      <c r="N868" s="563"/>
      <c r="O868" s="564"/>
      <c r="P868" s="564"/>
    </row>
    <row r="869" spans="1:16" ht="21.75" customHeight="1" x14ac:dyDescent="0.25">
      <c r="A869" s="560"/>
      <c r="B869" s="560"/>
      <c r="C869" s="560"/>
      <c r="D869" s="560"/>
      <c r="E869" s="561"/>
      <c r="F869" s="561"/>
      <c r="G869" s="561"/>
      <c r="H869" s="561"/>
      <c r="I869" s="561"/>
      <c r="J869" s="561"/>
      <c r="K869" s="562"/>
      <c r="L869" s="563"/>
      <c r="M869" s="563"/>
      <c r="N869" s="563"/>
      <c r="O869" s="564"/>
      <c r="P869" s="564"/>
    </row>
    <row r="870" spans="1:16" ht="21.75" customHeight="1" x14ac:dyDescent="0.25">
      <c r="A870" s="560"/>
      <c r="B870" s="560"/>
      <c r="C870" s="560"/>
      <c r="D870" s="560"/>
      <c r="E870" s="561"/>
      <c r="F870" s="561"/>
      <c r="G870" s="561"/>
      <c r="H870" s="561"/>
      <c r="I870" s="561"/>
      <c r="J870" s="561"/>
      <c r="K870" s="562"/>
      <c r="L870" s="563"/>
      <c r="M870" s="563"/>
      <c r="N870" s="563"/>
      <c r="O870" s="564"/>
      <c r="P870" s="564"/>
    </row>
    <row r="871" spans="1:16" ht="21.75" customHeight="1" x14ac:dyDescent="0.25">
      <c r="A871" s="560"/>
      <c r="B871" s="560"/>
      <c r="C871" s="560"/>
      <c r="D871" s="560"/>
      <c r="E871" s="561"/>
      <c r="F871" s="561"/>
      <c r="G871" s="561"/>
      <c r="H871" s="561"/>
      <c r="I871" s="561"/>
      <c r="J871" s="561"/>
      <c r="K871" s="562"/>
      <c r="L871" s="563"/>
      <c r="M871" s="563"/>
      <c r="N871" s="563"/>
      <c r="O871" s="564"/>
      <c r="P871" s="564"/>
    </row>
    <row r="872" spans="1:16" ht="21.75" customHeight="1" x14ac:dyDescent="0.25">
      <c r="A872" s="560"/>
      <c r="B872" s="560"/>
      <c r="C872" s="560"/>
      <c r="D872" s="560"/>
      <c r="E872" s="561"/>
      <c r="F872" s="561"/>
      <c r="G872" s="561"/>
      <c r="H872" s="561"/>
      <c r="I872" s="561"/>
      <c r="J872" s="561"/>
      <c r="K872" s="562"/>
      <c r="L872" s="563"/>
      <c r="M872" s="563"/>
      <c r="N872" s="563"/>
      <c r="O872" s="564"/>
      <c r="P872" s="564"/>
    </row>
    <row r="873" spans="1:16" ht="21.75" customHeight="1" x14ac:dyDescent="0.25">
      <c r="A873" s="560"/>
      <c r="B873" s="560"/>
      <c r="C873" s="560"/>
      <c r="D873" s="560"/>
      <c r="E873" s="561"/>
      <c r="F873" s="561"/>
      <c r="G873" s="561"/>
      <c r="H873" s="561"/>
      <c r="I873" s="561"/>
      <c r="J873" s="561"/>
      <c r="K873" s="562"/>
      <c r="L873" s="563"/>
      <c r="M873" s="563"/>
      <c r="N873" s="563"/>
      <c r="O873" s="564"/>
      <c r="P873" s="564"/>
    </row>
    <row r="874" spans="1:16" ht="21.75" customHeight="1" x14ac:dyDescent="0.25">
      <c r="A874" s="560"/>
      <c r="B874" s="560"/>
      <c r="C874" s="560"/>
      <c r="D874" s="560"/>
      <c r="E874" s="561"/>
      <c r="F874" s="561"/>
      <c r="G874" s="561"/>
      <c r="H874" s="561"/>
      <c r="I874" s="561"/>
      <c r="J874" s="561"/>
      <c r="K874" s="562"/>
      <c r="L874" s="563"/>
      <c r="M874" s="563"/>
      <c r="N874" s="563"/>
      <c r="O874" s="564"/>
      <c r="P874" s="564"/>
    </row>
    <row r="875" spans="1:16" ht="21.75" customHeight="1" x14ac:dyDescent="0.25">
      <c r="A875" s="560"/>
      <c r="B875" s="560"/>
      <c r="C875" s="560"/>
      <c r="D875" s="560"/>
      <c r="E875" s="561"/>
      <c r="F875" s="561"/>
      <c r="G875" s="561"/>
      <c r="H875" s="561"/>
      <c r="I875" s="561"/>
      <c r="J875" s="561"/>
      <c r="K875" s="562"/>
      <c r="L875" s="563"/>
      <c r="M875" s="563"/>
      <c r="N875" s="563"/>
      <c r="O875" s="564"/>
      <c r="P875" s="564"/>
    </row>
    <row r="876" spans="1:16" ht="21.75" customHeight="1" x14ac:dyDescent="0.25">
      <c r="A876" s="560"/>
      <c r="B876" s="560"/>
      <c r="C876" s="560"/>
      <c r="D876" s="560"/>
      <c r="E876" s="561"/>
      <c r="F876" s="561"/>
      <c r="G876" s="561"/>
      <c r="H876" s="561"/>
      <c r="I876" s="561"/>
      <c r="J876" s="561"/>
      <c r="K876" s="562"/>
      <c r="L876" s="563"/>
      <c r="M876" s="563"/>
      <c r="N876" s="563"/>
      <c r="O876" s="564"/>
      <c r="P876" s="564"/>
    </row>
    <row r="877" spans="1:16" ht="21.75" customHeight="1" x14ac:dyDescent="0.25">
      <c r="A877" s="560"/>
      <c r="B877" s="560"/>
      <c r="C877" s="560"/>
      <c r="D877" s="560"/>
      <c r="E877" s="561"/>
      <c r="F877" s="561"/>
      <c r="G877" s="561"/>
      <c r="H877" s="561"/>
      <c r="I877" s="561"/>
      <c r="J877" s="561"/>
      <c r="K877" s="562"/>
      <c r="L877" s="563"/>
      <c r="M877" s="563"/>
      <c r="N877" s="563"/>
      <c r="O877" s="564"/>
      <c r="P877" s="564"/>
    </row>
    <row r="878" spans="1:16" ht="21.75" customHeight="1" x14ac:dyDescent="0.25">
      <c r="A878" s="560"/>
      <c r="B878" s="560"/>
      <c r="C878" s="560"/>
      <c r="D878" s="560"/>
      <c r="E878" s="561"/>
      <c r="F878" s="561"/>
      <c r="G878" s="561"/>
      <c r="H878" s="561"/>
      <c r="I878" s="561"/>
      <c r="J878" s="561"/>
      <c r="K878" s="562"/>
      <c r="L878" s="563"/>
      <c r="M878" s="563"/>
      <c r="N878" s="563"/>
      <c r="O878" s="564"/>
      <c r="P878" s="564"/>
    </row>
    <row r="879" spans="1:16" ht="21.75" customHeight="1" x14ac:dyDescent="0.25">
      <c r="A879" s="560"/>
      <c r="B879" s="560"/>
      <c r="C879" s="560"/>
      <c r="D879" s="560"/>
      <c r="E879" s="561"/>
      <c r="F879" s="561"/>
      <c r="G879" s="561"/>
      <c r="H879" s="561"/>
      <c r="I879" s="561"/>
      <c r="J879" s="561"/>
      <c r="K879" s="562"/>
      <c r="L879" s="563"/>
      <c r="M879" s="563"/>
      <c r="N879" s="563"/>
      <c r="O879" s="564"/>
      <c r="P879" s="564"/>
    </row>
    <row r="880" spans="1:16" ht="21.75" customHeight="1" x14ac:dyDescent="0.25">
      <c r="A880" s="560"/>
      <c r="B880" s="560"/>
      <c r="C880" s="560"/>
      <c r="D880" s="560"/>
      <c r="E880" s="561"/>
      <c r="F880" s="561"/>
      <c r="G880" s="561"/>
      <c r="H880" s="561"/>
      <c r="I880" s="561"/>
      <c r="J880" s="561"/>
      <c r="K880" s="562"/>
      <c r="L880" s="563"/>
      <c r="M880" s="563"/>
      <c r="N880" s="563"/>
      <c r="O880" s="564"/>
      <c r="P880" s="564"/>
    </row>
    <row r="881" spans="1:16" ht="21.75" customHeight="1" x14ac:dyDescent="0.25">
      <c r="A881" s="560"/>
      <c r="B881" s="560"/>
      <c r="C881" s="560"/>
      <c r="D881" s="560"/>
      <c r="E881" s="561"/>
      <c r="F881" s="561"/>
      <c r="G881" s="561"/>
      <c r="H881" s="561"/>
      <c r="I881" s="561"/>
      <c r="J881" s="561"/>
      <c r="K881" s="562"/>
      <c r="L881" s="563"/>
      <c r="M881" s="563"/>
      <c r="N881" s="563"/>
      <c r="O881" s="564"/>
      <c r="P881" s="564"/>
    </row>
    <row r="882" spans="1:16" ht="21.75" customHeight="1" x14ac:dyDescent="0.25">
      <c r="A882" s="560"/>
      <c r="B882" s="560"/>
      <c r="C882" s="560"/>
      <c r="D882" s="560"/>
      <c r="E882" s="561"/>
      <c r="F882" s="561"/>
      <c r="G882" s="561"/>
      <c r="H882" s="561"/>
      <c r="I882" s="561"/>
      <c r="J882" s="561"/>
      <c r="K882" s="562"/>
      <c r="L882" s="563"/>
      <c r="M882" s="563"/>
      <c r="N882" s="563"/>
      <c r="O882" s="564"/>
      <c r="P882" s="564"/>
    </row>
    <row r="883" spans="1:16" ht="21.75" customHeight="1" x14ac:dyDescent="0.25">
      <c r="A883" s="560"/>
      <c r="B883" s="560"/>
      <c r="C883" s="560"/>
      <c r="D883" s="560"/>
      <c r="E883" s="561"/>
      <c r="F883" s="561"/>
      <c r="G883" s="561"/>
      <c r="H883" s="561"/>
      <c r="I883" s="561"/>
      <c r="J883" s="561"/>
      <c r="K883" s="562"/>
      <c r="L883" s="563"/>
      <c r="M883" s="563"/>
      <c r="N883" s="563"/>
      <c r="O883" s="564"/>
      <c r="P883" s="564"/>
    </row>
    <row r="884" spans="1:16" ht="21.75" customHeight="1" x14ac:dyDescent="0.25">
      <c r="A884" s="560"/>
      <c r="B884" s="560"/>
      <c r="C884" s="560"/>
      <c r="D884" s="560"/>
      <c r="E884" s="561"/>
      <c r="F884" s="561"/>
      <c r="G884" s="561"/>
      <c r="H884" s="561"/>
      <c r="I884" s="561"/>
      <c r="J884" s="561"/>
      <c r="K884" s="562"/>
      <c r="L884" s="563"/>
      <c r="M884" s="563"/>
      <c r="N884" s="563"/>
      <c r="O884" s="564"/>
      <c r="P884" s="564"/>
    </row>
    <row r="885" spans="1:16" ht="21.75" customHeight="1" x14ac:dyDescent="0.25">
      <c r="A885" s="560"/>
      <c r="B885" s="560"/>
      <c r="C885" s="560"/>
      <c r="D885" s="560"/>
      <c r="E885" s="561"/>
      <c r="F885" s="561"/>
      <c r="G885" s="561"/>
      <c r="H885" s="561"/>
      <c r="I885" s="561"/>
      <c r="J885" s="561"/>
      <c r="K885" s="562"/>
      <c r="L885" s="563"/>
      <c r="M885" s="563"/>
      <c r="N885" s="563"/>
      <c r="O885" s="564"/>
      <c r="P885" s="564"/>
    </row>
    <row r="886" spans="1:16" ht="21.75" customHeight="1" x14ac:dyDescent="0.25">
      <c r="A886" s="560"/>
      <c r="B886" s="560"/>
      <c r="C886" s="560"/>
      <c r="D886" s="560"/>
      <c r="E886" s="561"/>
      <c r="F886" s="561"/>
      <c r="G886" s="561"/>
      <c r="H886" s="561"/>
      <c r="I886" s="561"/>
      <c r="J886" s="561"/>
      <c r="K886" s="562"/>
      <c r="L886" s="563"/>
      <c r="M886" s="563"/>
      <c r="N886" s="563"/>
      <c r="O886" s="564"/>
      <c r="P886" s="564"/>
    </row>
    <row r="887" spans="1:16" ht="21.75" customHeight="1" x14ac:dyDescent="0.25">
      <c r="A887" s="560"/>
      <c r="B887" s="560"/>
      <c r="C887" s="560"/>
      <c r="D887" s="560"/>
      <c r="E887" s="561"/>
      <c r="F887" s="561"/>
      <c r="G887" s="561"/>
      <c r="H887" s="561"/>
      <c r="I887" s="561"/>
      <c r="J887" s="561"/>
      <c r="K887" s="562"/>
      <c r="L887" s="563"/>
      <c r="M887" s="563"/>
      <c r="N887" s="563"/>
      <c r="O887" s="564"/>
      <c r="P887" s="564"/>
    </row>
    <row r="888" spans="1:16" ht="21.75" customHeight="1" x14ac:dyDescent="0.25">
      <c r="A888" s="560"/>
      <c r="B888" s="560"/>
      <c r="C888" s="560"/>
      <c r="D888" s="560"/>
      <c r="E888" s="561"/>
      <c r="F888" s="561"/>
      <c r="G888" s="561"/>
      <c r="H888" s="561"/>
      <c r="I888" s="561"/>
      <c r="J888" s="561"/>
      <c r="K888" s="562"/>
      <c r="L888" s="563"/>
      <c r="M888" s="563"/>
      <c r="N888" s="563"/>
      <c r="O888" s="564"/>
      <c r="P888" s="564"/>
    </row>
    <row r="889" spans="1:16" ht="21.75" customHeight="1" x14ac:dyDescent="0.25">
      <c r="A889" s="560"/>
      <c r="B889" s="560"/>
      <c r="C889" s="560"/>
      <c r="D889" s="560"/>
      <c r="E889" s="561"/>
      <c r="F889" s="561"/>
      <c r="G889" s="561"/>
      <c r="H889" s="561"/>
      <c r="I889" s="561"/>
      <c r="J889" s="561"/>
      <c r="K889" s="562"/>
      <c r="L889" s="563"/>
      <c r="M889" s="563"/>
      <c r="N889" s="563"/>
      <c r="O889" s="564"/>
      <c r="P889" s="564"/>
    </row>
    <row r="890" spans="1:16" ht="21.75" customHeight="1" x14ac:dyDescent="0.25">
      <c r="A890" s="560"/>
      <c r="B890" s="560"/>
      <c r="C890" s="560"/>
      <c r="D890" s="560"/>
      <c r="E890" s="561"/>
      <c r="F890" s="561"/>
      <c r="G890" s="561"/>
      <c r="H890" s="561"/>
      <c r="I890" s="561"/>
      <c r="J890" s="561"/>
      <c r="K890" s="562"/>
      <c r="L890" s="563"/>
      <c r="M890" s="563"/>
      <c r="N890" s="563"/>
      <c r="O890" s="564"/>
      <c r="P890" s="564"/>
    </row>
    <row r="891" spans="1:16" ht="21.75" customHeight="1" x14ac:dyDescent="0.25">
      <c r="A891" s="560"/>
      <c r="B891" s="560"/>
      <c r="C891" s="560"/>
      <c r="D891" s="560"/>
      <c r="E891" s="561"/>
      <c r="F891" s="561"/>
      <c r="G891" s="561"/>
      <c r="H891" s="561"/>
      <c r="I891" s="561"/>
      <c r="J891" s="561"/>
      <c r="K891" s="562"/>
      <c r="L891" s="563"/>
      <c r="M891" s="563"/>
      <c r="N891" s="563"/>
      <c r="O891" s="564"/>
      <c r="P891" s="564"/>
    </row>
    <row r="892" spans="1:16" ht="21.75" customHeight="1" x14ac:dyDescent="0.25">
      <c r="A892" s="560"/>
      <c r="B892" s="560"/>
      <c r="C892" s="560"/>
      <c r="D892" s="560"/>
      <c r="E892" s="561"/>
      <c r="F892" s="561"/>
      <c r="G892" s="561"/>
      <c r="H892" s="561"/>
      <c r="I892" s="561"/>
      <c r="J892" s="561"/>
      <c r="K892" s="562"/>
      <c r="L892" s="563"/>
      <c r="M892" s="563"/>
      <c r="N892" s="563"/>
      <c r="O892" s="564"/>
      <c r="P892" s="564"/>
    </row>
    <row r="893" spans="1:16" ht="21.75" customHeight="1" x14ac:dyDescent="0.25">
      <c r="A893" s="560"/>
      <c r="B893" s="560"/>
      <c r="C893" s="560"/>
      <c r="D893" s="560"/>
      <c r="E893" s="561"/>
      <c r="F893" s="561"/>
      <c r="G893" s="561"/>
      <c r="H893" s="561"/>
      <c r="I893" s="561"/>
      <c r="J893" s="561"/>
      <c r="K893" s="562"/>
      <c r="L893" s="563"/>
      <c r="M893" s="563"/>
      <c r="N893" s="563"/>
      <c r="O893" s="564"/>
      <c r="P893" s="564"/>
    </row>
    <row r="894" spans="1:16" ht="21.75" customHeight="1" x14ac:dyDescent="0.25">
      <c r="A894" s="560"/>
      <c r="B894" s="560"/>
      <c r="C894" s="560"/>
      <c r="D894" s="560"/>
      <c r="E894" s="561"/>
      <c r="F894" s="561"/>
      <c r="G894" s="561"/>
      <c r="H894" s="561"/>
      <c r="I894" s="561"/>
      <c r="J894" s="561"/>
      <c r="K894" s="562"/>
      <c r="L894" s="563"/>
      <c r="M894" s="563"/>
      <c r="N894" s="563"/>
      <c r="O894" s="564"/>
      <c r="P894" s="564"/>
    </row>
    <row r="895" spans="1:16" ht="21.75" customHeight="1" x14ac:dyDescent="0.25">
      <c r="A895" s="560"/>
      <c r="B895" s="560"/>
      <c r="C895" s="560"/>
      <c r="D895" s="560"/>
      <c r="E895" s="561"/>
      <c r="F895" s="561"/>
      <c r="G895" s="561"/>
      <c r="H895" s="561"/>
      <c r="I895" s="561"/>
      <c r="J895" s="561"/>
      <c r="K895" s="562"/>
      <c r="L895" s="563"/>
      <c r="M895" s="563"/>
      <c r="N895" s="563"/>
      <c r="O895" s="564"/>
      <c r="P895" s="564"/>
    </row>
    <row r="896" spans="1:16" ht="21.75" customHeight="1" x14ac:dyDescent="0.25">
      <c r="A896" s="560"/>
      <c r="B896" s="560"/>
      <c r="C896" s="560"/>
      <c r="D896" s="560"/>
      <c r="E896" s="561"/>
      <c r="F896" s="561"/>
      <c r="G896" s="561"/>
      <c r="H896" s="561"/>
      <c r="I896" s="561"/>
      <c r="J896" s="561"/>
      <c r="K896" s="562"/>
      <c r="L896" s="563"/>
      <c r="M896" s="563"/>
      <c r="N896" s="563"/>
      <c r="O896" s="564"/>
      <c r="P896" s="564"/>
    </row>
    <row r="897" spans="1:16" ht="21.75" customHeight="1" x14ac:dyDescent="0.25">
      <c r="A897" s="560"/>
      <c r="B897" s="560"/>
      <c r="C897" s="560"/>
      <c r="D897" s="560"/>
      <c r="E897" s="561"/>
      <c r="F897" s="561"/>
      <c r="G897" s="561"/>
      <c r="H897" s="561"/>
      <c r="I897" s="561"/>
      <c r="J897" s="561"/>
      <c r="K897" s="562"/>
      <c r="L897" s="563"/>
      <c r="M897" s="563"/>
      <c r="N897" s="563"/>
      <c r="O897" s="564"/>
      <c r="P897" s="564"/>
    </row>
    <row r="898" spans="1:16" ht="21.75" customHeight="1" x14ac:dyDescent="0.25">
      <c r="A898" s="560"/>
      <c r="B898" s="560"/>
      <c r="C898" s="560"/>
      <c r="D898" s="560"/>
      <c r="E898" s="561"/>
      <c r="F898" s="561"/>
      <c r="G898" s="561"/>
      <c r="H898" s="561"/>
      <c r="I898" s="561"/>
      <c r="J898" s="561"/>
      <c r="K898" s="562"/>
      <c r="L898" s="563"/>
      <c r="M898" s="563"/>
      <c r="N898" s="563"/>
      <c r="O898" s="564"/>
      <c r="P898" s="564"/>
    </row>
    <row r="899" spans="1:16" ht="21.75" customHeight="1" x14ac:dyDescent="0.25">
      <c r="A899" s="560"/>
      <c r="B899" s="560"/>
      <c r="C899" s="560"/>
      <c r="D899" s="560"/>
      <c r="E899" s="561"/>
      <c r="F899" s="561"/>
      <c r="G899" s="561"/>
      <c r="H899" s="561"/>
      <c r="I899" s="561"/>
      <c r="J899" s="561"/>
      <c r="K899" s="562"/>
      <c r="L899" s="563"/>
      <c r="M899" s="563"/>
      <c r="N899" s="563"/>
      <c r="O899" s="564"/>
      <c r="P899" s="564"/>
    </row>
    <row r="900" spans="1:16" ht="21.75" customHeight="1" x14ac:dyDescent="0.25">
      <c r="A900" s="560"/>
      <c r="B900" s="560"/>
      <c r="C900" s="560"/>
      <c r="D900" s="560"/>
      <c r="E900" s="561"/>
      <c r="F900" s="561"/>
      <c r="G900" s="561"/>
      <c r="H900" s="561"/>
      <c r="I900" s="561"/>
      <c r="J900" s="561"/>
      <c r="K900" s="562"/>
      <c r="L900" s="563"/>
      <c r="M900" s="563"/>
      <c r="N900" s="563"/>
      <c r="O900" s="564"/>
      <c r="P900" s="564"/>
    </row>
    <row r="901" spans="1:16" ht="21.75" customHeight="1" x14ac:dyDescent="0.25">
      <c r="A901" s="560"/>
      <c r="B901" s="560"/>
      <c r="C901" s="560"/>
      <c r="D901" s="560"/>
      <c r="E901" s="561"/>
      <c r="F901" s="561"/>
      <c r="G901" s="561"/>
      <c r="H901" s="561"/>
      <c r="I901" s="561"/>
      <c r="J901" s="561"/>
      <c r="K901" s="562"/>
      <c r="L901" s="563"/>
      <c r="M901" s="563"/>
      <c r="N901" s="563"/>
      <c r="O901" s="564"/>
      <c r="P901" s="564"/>
    </row>
    <row r="902" spans="1:16" ht="21.75" customHeight="1" x14ac:dyDescent="0.25">
      <c r="A902" s="560"/>
      <c r="B902" s="560"/>
      <c r="C902" s="560"/>
      <c r="D902" s="560"/>
      <c r="E902" s="561"/>
      <c r="F902" s="561"/>
      <c r="G902" s="561"/>
      <c r="H902" s="561"/>
      <c r="I902" s="561"/>
      <c r="J902" s="561"/>
      <c r="K902" s="562"/>
      <c r="L902" s="563"/>
      <c r="M902" s="563"/>
      <c r="N902" s="563"/>
      <c r="O902" s="564"/>
      <c r="P902" s="564"/>
    </row>
    <row r="903" spans="1:16" ht="21.75" customHeight="1" x14ac:dyDescent="0.25">
      <c r="A903" s="560"/>
      <c r="B903" s="560"/>
      <c r="C903" s="560"/>
      <c r="D903" s="560"/>
      <c r="E903" s="561"/>
      <c r="F903" s="561"/>
      <c r="G903" s="561"/>
      <c r="H903" s="561"/>
      <c r="I903" s="561"/>
      <c r="J903" s="561"/>
      <c r="K903" s="562"/>
      <c r="L903" s="563"/>
      <c r="M903" s="563"/>
      <c r="N903" s="563"/>
      <c r="O903" s="564"/>
      <c r="P903" s="564"/>
    </row>
    <row r="904" spans="1:16" ht="21.75" customHeight="1" x14ac:dyDescent="0.25">
      <c r="A904" s="560"/>
      <c r="B904" s="560"/>
      <c r="C904" s="560"/>
      <c r="D904" s="560"/>
      <c r="E904" s="561"/>
      <c r="F904" s="561"/>
      <c r="G904" s="561"/>
      <c r="H904" s="561"/>
      <c r="I904" s="561"/>
      <c r="J904" s="561"/>
      <c r="K904" s="562"/>
      <c r="L904" s="563"/>
      <c r="M904" s="563"/>
      <c r="N904" s="563"/>
      <c r="O904" s="564"/>
      <c r="P904" s="564"/>
    </row>
    <row r="905" spans="1:16" ht="21.75" customHeight="1" x14ac:dyDescent="0.25">
      <c r="A905" s="560"/>
      <c r="B905" s="560"/>
      <c r="C905" s="560"/>
      <c r="D905" s="560"/>
      <c r="E905" s="561"/>
      <c r="F905" s="561"/>
      <c r="G905" s="561"/>
      <c r="H905" s="561"/>
      <c r="I905" s="561"/>
      <c r="J905" s="561"/>
      <c r="K905" s="562"/>
      <c r="L905" s="563"/>
      <c r="M905" s="563"/>
      <c r="N905" s="563"/>
      <c r="O905" s="564"/>
      <c r="P905" s="564"/>
    </row>
    <row r="906" spans="1:16" ht="21.75" customHeight="1" x14ac:dyDescent="0.25">
      <c r="A906" s="560"/>
      <c r="B906" s="560"/>
      <c r="C906" s="560"/>
      <c r="D906" s="560"/>
      <c r="E906" s="561"/>
      <c r="F906" s="561"/>
      <c r="G906" s="561"/>
      <c r="H906" s="561"/>
      <c r="I906" s="561"/>
      <c r="J906" s="561"/>
      <c r="K906" s="562"/>
      <c r="L906" s="563"/>
      <c r="M906" s="563"/>
      <c r="N906" s="563"/>
      <c r="O906" s="564"/>
      <c r="P906" s="564"/>
    </row>
    <row r="907" spans="1:16" ht="21.75" customHeight="1" x14ac:dyDescent="0.25">
      <c r="A907" s="560"/>
      <c r="B907" s="560"/>
      <c r="C907" s="560"/>
      <c r="D907" s="560"/>
      <c r="E907" s="561"/>
      <c r="F907" s="561"/>
      <c r="G907" s="561"/>
      <c r="H907" s="561"/>
      <c r="I907" s="561"/>
      <c r="J907" s="561"/>
      <c r="K907" s="562"/>
      <c r="L907" s="563"/>
      <c r="M907" s="563"/>
      <c r="N907" s="563"/>
      <c r="O907" s="564"/>
      <c r="P907" s="564"/>
    </row>
    <row r="908" spans="1:16" ht="21.75" customHeight="1" x14ac:dyDescent="0.25">
      <c r="A908" s="560"/>
      <c r="B908" s="560"/>
      <c r="C908" s="560"/>
      <c r="D908" s="560"/>
      <c r="E908" s="561"/>
      <c r="F908" s="561"/>
      <c r="G908" s="561"/>
      <c r="H908" s="561"/>
      <c r="I908" s="561"/>
      <c r="J908" s="561"/>
      <c r="K908" s="562"/>
      <c r="L908" s="563"/>
      <c r="M908" s="563"/>
      <c r="N908" s="563"/>
      <c r="O908" s="564"/>
      <c r="P908" s="564"/>
    </row>
    <row r="909" spans="1:16" ht="21.75" customHeight="1" x14ac:dyDescent="0.25">
      <c r="A909" s="560"/>
      <c r="B909" s="560"/>
      <c r="C909" s="560"/>
      <c r="D909" s="560"/>
      <c r="E909" s="561"/>
      <c r="F909" s="561"/>
      <c r="G909" s="561"/>
      <c r="H909" s="561"/>
      <c r="I909" s="561"/>
      <c r="J909" s="561"/>
      <c r="K909" s="562"/>
      <c r="L909" s="563"/>
      <c r="M909" s="563"/>
      <c r="N909" s="563"/>
      <c r="O909" s="564"/>
      <c r="P909" s="564"/>
    </row>
    <row r="910" spans="1:16" ht="21.75" customHeight="1" x14ac:dyDescent="0.25">
      <c r="A910" s="560"/>
      <c r="B910" s="560"/>
      <c r="C910" s="560"/>
      <c r="D910" s="560"/>
      <c r="E910" s="561"/>
      <c r="F910" s="561"/>
      <c r="G910" s="561"/>
      <c r="H910" s="561"/>
      <c r="I910" s="561"/>
      <c r="J910" s="561"/>
      <c r="K910" s="562"/>
      <c r="L910" s="563"/>
      <c r="M910" s="563"/>
      <c r="N910" s="563"/>
      <c r="O910" s="564"/>
      <c r="P910" s="564"/>
    </row>
    <row r="911" spans="1:16" ht="21.75" customHeight="1" x14ac:dyDescent="0.25">
      <c r="A911" s="560"/>
      <c r="B911" s="560"/>
      <c r="C911" s="560"/>
      <c r="D911" s="560"/>
      <c r="E911" s="561"/>
      <c r="F911" s="561"/>
      <c r="G911" s="561"/>
      <c r="H911" s="561"/>
      <c r="I911" s="561"/>
      <c r="J911" s="561"/>
      <c r="K911" s="562"/>
      <c r="L911" s="563"/>
      <c r="M911" s="563"/>
      <c r="N911" s="563"/>
      <c r="O911" s="564"/>
      <c r="P911" s="564"/>
    </row>
    <row r="912" spans="1:16" ht="21.75" customHeight="1" x14ac:dyDescent="0.25">
      <c r="A912" s="560"/>
      <c r="B912" s="560"/>
      <c r="C912" s="560"/>
      <c r="D912" s="560"/>
      <c r="E912" s="561"/>
      <c r="F912" s="561"/>
      <c r="G912" s="561"/>
      <c r="H912" s="561"/>
      <c r="I912" s="561"/>
      <c r="J912" s="561"/>
      <c r="K912" s="562"/>
      <c r="L912" s="563"/>
      <c r="M912" s="563"/>
      <c r="N912" s="563"/>
      <c r="O912" s="564"/>
      <c r="P912" s="564"/>
    </row>
    <row r="913" spans="1:16" ht="21.75" customHeight="1" x14ac:dyDescent="0.25">
      <c r="A913" s="560"/>
      <c r="B913" s="560"/>
      <c r="C913" s="560"/>
      <c r="D913" s="560"/>
      <c r="E913" s="561"/>
      <c r="F913" s="561"/>
      <c r="G913" s="561"/>
      <c r="H913" s="561"/>
      <c r="I913" s="561"/>
      <c r="J913" s="561"/>
      <c r="K913" s="562"/>
      <c r="L913" s="563"/>
      <c r="M913" s="563"/>
      <c r="N913" s="563"/>
      <c r="O913" s="564"/>
      <c r="P913" s="564"/>
    </row>
    <row r="914" spans="1:16" ht="21.75" customHeight="1" x14ac:dyDescent="0.25">
      <c r="A914" s="560"/>
      <c r="B914" s="560"/>
      <c r="C914" s="560"/>
      <c r="D914" s="560"/>
      <c r="E914" s="561"/>
      <c r="F914" s="561"/>
      <c r="G914" s="561"/>
      <c r="H914" s="561"/>
      <c r="I914" s="561"/>
      <c r="J914" s="561"/>
      <c r="K914" s="562"/>
      <c r="L914" s="563"/>
      <c r="M914" s="563"/>
      <c r="N914" s="563"/>
      <c r="O914" s="564"/>
      <c r="P914" s="564"/>
    </row>
    <row r="915" spans="1:16" ht="21.75" customHeight="1" x14ac:dyDescent="0.25">
      <c r="A915" s="560"/>
      <c r="B915" s="560"/>
      <c r="C915" s="560"/>
      <c r="D915" s="560"/>
      <c r="E915" s="561"/>
      <c r="F915" s="561"/>
      <c r="G915" s="561"/>
      <c r="H915" s="561"/>
      <c r="I915" s="561"/>
      <c r="J915" s="561"/>
      <c r="K915" s="562"/>
      <c r="L915" s="563"/>
      <c r="M915" s="563"/>
      <c r="N915" s="563"/>
      <c r="O915" s="564"/>
      <c r="P915" s="564"/>
    </row>
    <row r="916" spans="1:16" ht="21.75" customHeight="1" x14ac:dyDescent="0.25">
      <c r="A916" s="560"/>
      <c r="B916" s="560"/>
      <c r="C916" s="560"/>
      <c r="D916" s="560"/>
      <c r="E916" s="561"/>
      <c r="F916" s="561"/>
      <c r="G916" s="561"/>
      <c r="H916" s="561"/>
      <c r="I916" s="561"/>
      <c r="J916" s="561"/>
      <c r="K916" s="562"/>
      <c r="L916" s="563"/>
      <c r="M916" s="563"/>
      <c r="N916" s="563"/>
      <c r="O916" s="564"/>
      <c r="P916" s="564"/>
    </row>
    <row r="917" spans="1:16" ht="21.75" customHeight="1" x14ac:dyDescent="0.25">
      <c r="A917" s="560"/>
      <c r="B917" s="560"/>
      <c r="C917" s="560"/>
      <c r="D917" s="560"/>
      <c r="E917" s="561"/>
      <c r="F917" s="561"/>
      <c r="G917" s="561"/>
      <c r="H917" s="561"/>
      <c r="I917" s="561"/>
      <c r="J917" s="561"/>
      <c r="K917" s="562"/>
      <c r="L917" s="563"/>
      <c r="M917" s="563"/>
      <c r="N917" s="563"/>
      <c r="O917" s="564"/>
      <c r="P917" s="564"/>
    </row>
    <row r="918" spans="1:16" ht="21.75" customHeight="1" x14ac:dyDescent="0.25">
      <c r="A918" s="560"/>
      <c r="B918" s="560"/>
      <c r="C918" s="560"/>
      <c r="D918" s="560"/>
      <c r="E918" s="561"/>
      <c r="F918" s="561"/>
      <c r="G918" s="561"/>
      <c r="H918" s="561"/>
      <c r="I918" s="561"/>
      <c r="J918" s="561"/>
      <c r="K918" s="562"/>
      <c r="L918" s="563"/>
      <c r="M918" s="563"/>
      <c r="N918" s="563"/>
      <c r="O918" s="564"/>
      <c r="P918" s="564"/>
    </row>
    <row r="919" spans="1:16" ht="21.75" customHeight="1" x14ac:dyDescent="0.25">
      <c r="A919" s="560"/>
      <c r="B919" s="560"/>
      <c r="C919" s="560"/>
      <c r="D919" s="560"/>
      <c r="E919" s="561"/>
      <c r="F919" s="561"/>
      <c r="G919" s="561"/>
      <c r="H919" s="561"/>
      <c r="I919" s="561"/>
      <c r="J919" s="561"/>
      <c r="K919" s="562"/>
      <c r="L919" s="563"/>
      <c r="M919" s="563"/>
      <c r="N919" s="563"/>
      <c r="O919" s="564"/>
      <c r="P919" s="564"/>
    </row>
    <row r="920" spans="1:16" ht="21.75" customHeight="1" x14ac:dyDescent="0.25">
      <c r="A920" s="560"/>
      <c r="B920" s="560"/>
      <c r="C920" s="560"/>
      <c r="D920" s="560"/>
      <c r="E920" s="561"/>
      <c r="F920" s="561"/>
      <c r="G920" s="561"/>
      <c r="H920" s="561"/>
      <c r="I920" s="561"/>
      <c r="J920" s="561"/>
      <c r="K920" s="562"/>
      <c r="L920" s="563"/>
      <c r="M920" s="563"/>
      <c r="N920" s="563"/>
      <c r="O920" s="564"/>
      <c r="P920" s="564"/>
    </row>
    <row r="921" spans="1:16" ht="21.75" customHeight="1" x14ac:dyDescent="0.25">
      <c r="A921" s="560"/>
      <c r="B921" s="560"/>
      <c r="C921" s="560"/>
      <c r="D921" s="560"/>
      <c r="E921" s="561"/>
      <c r="F921" s="561"/>
      <c r="G921" s="561"/>
      <c r="H921" s="561"/>
      <c r="I921" s="561"/>
      <c r="J921" s="561"/>
      <c r="K921" s="562"/>
      <c r="L921" s="563"/>
      <c r="M921" s="563"/>
      <c r="N921" s="563"/>
      <c r="O921" s="564"/>
      <c r="P921" s="564"/>
    </row>
    <row r="922" spans="1:16" ht="21.75" customHeight="1" x14ac:dyDescent="0.25">
      <c r="A922" s="560"/>
      <c r="B922" s="560"/>
      <c r="C922" s="560"/>
      <c r="D922" s="560"/>
      <c r="E922" s="561"/>
      <c r="F922" s="561"/>
      <c r="G922" s="561"/>
      <c r="H922" s="561"/>
      <c r="I922" s="561"/>
      <c r="J922" s="561"/>
      <c r="K922" s="562"/>
      <c r="L922" s="563"/>
      <c r="M922" s="563"/>
      <c r="N922" s="563"/>
      <c r="O922" s="564"/>
      <c r="P922" s="564"/>
    </row>
    <row r="923" spans="1:16" ht="21.75" customHeight="1" x14ac:dyDescent="0.25">
      <c r="A923" s="560"/>
      <c r="B923" s="560"/>
      <c r="C923" s="560"/>
      <c r="D923" s="560"/>
      <c r="E923" s="561"/>
      <c r="F923" s="561"/>
      <c r="G923" s="561"/>
      <c r="H923" s="561"/>
      <c r="I923" s="561"/>
      <c r="J923" s="561"/>
      <c r="K923" s="562"/>
      <c r="L923" s="563"/>
      <c r="M923" s="563"/>
      <c r="N923" s="563"/>
      <c r="O923" s="564"/>
      <c r="P923" s="564"/>
    </row>
    <row r="924" spans="1:16" ht="21.75" customHeight="1" x14ac:dyDescent="0.25">
      <c r="A924" s="560"/>
      <c r="B924" s="560"/>
      <c r="C924" s="560"/>
      <c r="D924" s="560"/>
      <c r="E924" s="561"/>
      <c r="F924" s="561"/>
      <c r="G924" s="561"/>
      <c r="H924" s="561"/>
      <c r="I924" s="561"/>
      <c r="J924" s="561"/>
      <c r="K924" s="562"/>
      <c r="L924" s="563"/>
      <c r="M924" s="563"/>
      <c r="N924" s="563"/>
      <c r="O924" s="564"/>
      <c r="P924" s="564"/>
    </row>
    <row r="925" spans="1:16" ht="21.75" customHeight="1" x14ac:dyDescent="0.25">
      <c r="A925" s="560"/>
      <c r="B925" s="560"/>
      <c r="C925" s="560"/>
      <c r="D925" s="560"/>
      <c r="E925" s="561"/>
      <c r="F925" s="561"/>
      <c r="G925" s="561"/>
      <c r="H925" s="561"/>
      <c r="I925" s="561"/>
      <c r="J925" s="561"/>
      <c r="K925" s="562"/>
      <c r="L925" s="563"/>
      <c r="M925" s="563"/>
      <c r="N925" s="563"/>
      <c r="O925" s="564"/>
      <c r="P925" s="564"/>
    </row>
    <row r="926" spans="1:16" ht="21.75" customHeight="1" x14ac:dyDescent="0.25">
      <c r="A926" s="560"/>
      <c r="B926" s="560"/>
      <c r="C926" s="560"/>
      <c r="D926" s="560"/>
      <c r="E926" s="561"/>
      <c r="F926" s="561"/>
      <c r="G926" s="561"/>
      <c r="H926" s="561"/>
      <c r="I926" s="561"/>
      <c r="J926" s="561"/>
      <c r="K926" s="562"/>
      <c r="L926" s="563"/>
      <c r="M926" s="563"/>
      <c r="N926" s="563"/>
      <c r="O926" s="564"/>
      <c r="P926" s="564"/>
    </row>
    <row r="927" spans="1:16" ht="21.75" customHeight="1" x14ac:dyDescent="0.25">
      <c r="A927" s="560"/>
      <c r="B927" s="560"/>
      <c r="C927" s="560"/>
      <c r="D927" s="560"/>
      <c r="E927" s="561"/>
      <c r="F927" s="561"/>
      <c r="G927" s="561"/>
      <c r="H927" s="561"/>
      <c r="I927" s="561"/>
      <c r="J927" s="561"/>
      <c r="K927" s="562"/>
      <c r="L927" s="563"/>
      <c r="M927" s="563"/>
      <c r="N927" s="563"/>
      <c r="O927" s="564"/>
      <c r="P927" s="564"/>
    </row>
    <row r="928" spans="1:16" ht="21.75" customHeight="1" x14ac:dyDescent="0.25">
      <c r="A928" s="560"/>
      <c r="B928" s="560"/>
      <c r="C928" s="560"/>
      <c r="D928" s="560"/>
      <c r="E928" s="561"/>
      <c r="F928" s="561"/>
      <c r="G928" s="561"/>
      <c r="H928" s="561"/>
      <c r="I928" s="561"/>
      <c r="J928" s="561"/>
      <c r="K928" s="562"/>
      <c r="L928" s="563"/>
      <c r="M928" s="563"/>
      <c r="N928" s="563"/>
      <c r="O928" s="564"/>
      <c r="P928" s="564"/>
    </row>
    <row r="929" spans="1:16" ht="21.75" customHeight="1" x14ac:dyDescent="0.25">
      <c r="A929" s="560"/>
      <c r="B929" s="560"/>
      <c r="C929" s="560"/>
      <c r="D929" s="560"/>
      <c r="E929" s="561"/>
      <c r="F929" s="561"/>
      <c r="G929" s="561"/>
      <c r="H929" s="561"/>
      <c r="I929" s="561"/>
      <c r="J929" s="561"/>
      <c r="K929" s="562"/>
      <c r="L929" s="563"/>
      <c r="M929" s="563"/>
      <c r="N929" s="563"/>
      <c r="O929" s="564"/>
      <c r="P929" s="564"/>
    </row>
    <row r="930" spans="1:16" ht="21.75" customHeight="1" x14ac:dyDescent="0.25">
      <c r="A930" s="560"/>
      <c r="B930" s="560"/>
      <c r="C930" s="560"/>
      <c r="D930" s="560"/>
      <c r="E930" s="561"/>
      <c r="F930" s="561"/>
      <c r="G930" s="561"/>
      <c r="H930" s="561"/>
      <c r="I930" s="561"/>
      <c r="J930" s="561"/>
      <c r="K930" s="562"/>
      <c r="L930" s="563"/>
      <c r="M930" s="563"/>
      <c r="N930" s="563"/>
      <c r="O930" s="564"/>
      <c r="P930" s="564"/>
    </row>
    <row r="931" spans="1:16" ht="21.75" customHeight="1" x14ac:dyDescent="0.25">
      <c r="A931" s="560"/>
      <c r="B931" s="560"/>
      <c r="C931" s="560"/>
      <c r="D931" s="560"/>
      <c r="E931" s="561"/>
      <c r="F931" s="561"/>
      <c r="G931" s="561"/>
      <c r="H931" s="561"/>
      <c r="I931" s="561"/>
      <c r="J931" s="561"/>
      <c r="K931" s="562"/>
      <c r="L931" s="563"/>
      <c r="M931" s="563"/>
      <c r="N931" s="563"/>
      <c r="O931" s="564"/>
      <c r="P931" s="564"/>
    </row>
    <row r="932" spans="1:16" ht="21.75" customHeight="1" x14ac:dyDescent="0.25">
      <c r="A932" s="560"/>
      <c r="B932" s="560"/>
      <c r="C932" s="560"/>
      <c r="D932" s="560"/>
      <c r="E932" s="561"/>
      <c r="F932" s="561"/>
      <c r="G932" s="561"/>
      <c r="H932" s="561"/>
      <c r="I932" s="561"/>
      <c r="J932" s="561"/>
      <c r="K932" s="562"/>
      <c r="L932" s="563"/>
      <c r="M932" s="563"/>
      <c r="N932" s="563"/>
      <c r="O932" s="564"/>
      <c r="P932" s="564"/>
    </row>
    <row r="933" spans="1:16" ht="21.75" customHeight="1" x14ac:dyDescent="0.25">
      <c r="A933" s="560"/>
      <c r="B933" s="560"/>
      <c r="C933" s="560"/>
      <c r="D933" s="560"/>
      <c r="E933" s="561"/>
      <c r="F933" s="561"/>
      <c r="G933" s="561"/>
      <c r="H933" s="561"/>
      <c r="I933" s="561"/>
      <c r="J933" s="561"/>
      <c r="K933" s="562"/>
      <c r="L933" s="563"/>
      <c r="M933" s="563"/>
      <c r="N933" s="563"/>
      <c r="O933" s="564"/>
      <c r="P933" s="564"/>
    </row>
    <row r="934" spans="1:16" ht="21.75" customHeight="1" x14ac:dyDescent="0.25">
      <c r="A934" s="560"/>
      <c r="B934" s="560"/>
      <c r="C934" s="560"/>
      <c r="D934" s="560"/>
      <c r="E934" s="561"/>
      <c r="F934" s="561"/>
      <c r="G934" s="561"/>
      <c r="H934" s="561"/>
      <c r="I934" s="561"/>
      <c r="J934" s="561"/>
      <c r="K934" s="562"/>
      <c r="L934" s="563"/>
      <c r="M934" s="563"/>
      <c r="N934" s="563"/>
      <c r="O934" s="564"/>
      <c r="P934" s="564"/>
    </row>
    <row r="935" spans="1:16" ht="21.75" customHeight="1" x14ac:dyDescent="0.25">
      <c r="A935" s="560"/>
      <c r="B935" s="560"/>
      <c r="C935" s="560"/>
      <c r="D935" s="560"/>
      <c r="E935" s="561"/>
      <c r="F935" s="561"/>
      <c r="G935" s="561"/>
      <c r="H935" s="561"/>
      <c r="I935" s="561"/>
      <c r="J935" s="561"/>
      <c r="K935" s="562"/>
      <c r="L935" s="563"/>
      <c r="M935" s="563"/>
      <c r="N935" s="563"/>
      <c r="O935" s="564"/>
      <c r="P935" s="564"/>
    </row>
    <row r="936" spans="1:16" ht="21.75" customHeight="1" x14ac:dyDescent="0.25">
      <c r="A936" s="560"/>
      <c r="B936" s="560"/>
      <c r="C936" s="560"/>
      <c r="D936" s="560"/>
      <c r="E936" s="561"/>
      <c r="F936" s="561"/>
      <c r="G936" s="561"/>
      <c r="H936" s="561"/>
      <c r="I936" s="561"/>
      <c r="J936" s="561"/>
      <c r="K936" s="562"/>
      <c r="L936" s="563"/>
      <c r="M936" s="563"/>
      <c r="N936" s="563"/>
      <c r="O936" s="564"/>
      <c r="P936" s="564"/>
    </row>
    <row r="937" spans="1:16" ht="21.75" customHeight="1" x14ac:dyDescent="0.25">
      <c r="A937" s="560"/>
      <c r="B937" s="560"/>
      <c r="C937" s="560"/>
      <c r="D937" s="560"/>
      <c r="E937" s="561"/>
      <c r="F937" s="561"/>
      <c r="G937" s="561"/>
      <c r="H937" s="561"/>
      <c r="I937" s="561"/>
      <c r="J937" s="561"/>
      <c r="K937" s="562"/>
      <c r="L937" s="563"/>
      <c r="M937" s="563"/>
      <c r="N937" s="563"/>
      <c r="O937" s="564"/>
      <c r="P937" s="564"/>
    </row>
    <row r="938" spans="1:16" ht="21.75" customHeight="1" x14ac:dyDescent="0.25">
      <c r="A938" s="560"/>
      <c r="B938" s="560"/>
      <c r="C938" s="560"/>
      <c r="D938" s="560"/>
      <c r="E938" s="561"/>
      <c r="F938" s="561"/>
      <c r="G938" s="561"/>
      <c r="H938" s="561"/>
      <c r="I938" s="561"/>
      <c r="J938" s="561"/>
      <c r="K938" s="562"/>
      <c r="L938" s="563"/>
      <c r="M938" s="563"/>
      <c r="N938" s="563"/>
      <c r="O938" s="564"/>
      <c r="P938" s="564"/>
    </row>
    <row r="939" spans="1:16" ht="21.75" customHeight="1" x14ac:dyDescent="0.25">
      <c r="A939" s="560"/>
      <c r="B939" s="560"/>
      <c r="C939" s="560"/>
      <c r="D939" s="560"/>
      <c r="E939" s="561"/>
      <c r="F939" s="561"/>
      <c r="G939" s="561"/>
      <c r="H939" s="561"/>
      <c r="I939" s="561"/>
      <c r="J939" s="561"/>
      <c r="K939" s="562"/>
      <c r="L939" s="563"/>
      <c r="M939" s="563"/>
      <c r="N939" s="563"/>
      <c r="O939" s="564"/>
      <c r="P939" s="564"/>
    </row>
    <row r="940" spans="1:16" ht="21.75" customHeight="1" x14ac:dyDescent="0.25">
      <c r="A940" s="560"/>
      <c r="B940" s="560"/>
      <c r="C940" s="560"/>
      <c r="D940" s="560"/>
      <c r="E940" s="561"/>
      <c r="F940" s="561"/>
      <c r="G940" s="561"/>
      <c r="H940" s="561"/>
      <c r="I940" s="561"/>
      <c r="J940" s="561"/>
      <c r="K940" s="562"/>
      <c r="L940" s="563"/>
      <c r="M940" s="563"/>
      <c r="N940" s="563"/>
      <c r="O940" s="564"/>
      <c r="P940" s="564"/>
    </row>
    <row r="941" spans="1:16" ht="21.75" customHeight="1" x14ac:dyDescent="0.25">
      <c r="A941" s="560"/>
      <c r="B941" s="560"/>
      <c r="C941" s="560"/>
      <c r="D941" s="560"/>
      <c r="E941" s="561"/>
      <c r="F941" s="561"/>
      <c r="G941" s="561"/>
      <c r="H941" s="561"/>
      <c r="I941" s="561"/>
      <c r="J941" s="561"/>
      <c r="K941" s="562"/>
      <c r="L941" s="563"/>
      <c r="M941" s="563"/>
      <c r="N941" s="563"/>
      <c r="O941" s="564"/>
      <c r="P941" s="564"/>
    </row>
    <row r="942" spans="1:16" ht="21.75" customHeight="1" x14ac:dyDescent="0.25">
      <c r="A942" s="560"/>
      <c r="B942" s="560"/>
      <c r="C942" s="560"/>
      <c r="D942" s="560"/>
      <c r="E942" s="561"/>
      <c r="F942" s="561"/>
      <c r="G942" s="561"/>
      <c r="H942" s="561"/>
      <c r="I942" s="561"/>
      <c r="J942" s="561"/>
      <c r="K942" s="562"/>
      <c r="L942" s="563"/>
      <c r="M942" s="563"/>
      <c r="N942" s="563"/>
      <c r="O942" s="564"/>
      <c r="P942" s="564"/>
    </row>
    <row r="943" spans="1:16" ht="21.75" customHeight="1" x14ac:dyDescent="0.25">
      <c r="A943" s="560"/>
      <c r="B943" s="560"/>
      <c r="C943" s="560"/>
      <c r="D943" s="560"/>
      <c r="E943" s="561"/>
      <c r="F943" s="561"/>
      <c r="G943" s="561"/>
      <c r="H943" s="561"/>
      <c r="I943" s="561"/>
      <c r="J943" s="561"/>
      <c r="K943" s="562"/>
      <c r="L943" s="563"/>
      <c r="M943" s="563"/>
      <c r="N943" s="563"/>
      <c r="O943" s="564"/>
      <c r="P943" s="564"/>
    </row>
    <row r="944" spans="1:16" ht="21.75" customHeight="1" x14ac:dyDescent="0.25">
      <c r="A944" s="560"/>
      <c r="B944" s="560"/>
      <c r="C944" s="560"/>
      <c r="D944" s="560"/>
      <c r="E944" s="561"/>
      <c r="F944" s="561"/>
      <c r="G944" s="561"/>
      <c r="H944" s="561"/>
      <c r="I944" s="561"/>
      <c r="J944" s="561"/>
      <c r="K944" s="562"/>
      <c r="L944" s="563"/>
      <c r="M944" s="563"/>
      <c r="N944" s="563"/>
      <c r="O944" s="564"/>
      <c r="P944" s="564"/>
    </row>
    <row r="945" spans="1:16" ht="21.75" customHeight="1" x14ac:dyDescent="0.25">
      <c r="A945" s="560"/>
      <c r="B945" s="560"/>
      <c r="C945" s="560"/>
      <c r="D945" s="560"/>
      <c r="E945" s="561"/>
      <c r="F945" s="561"/>
      <c r="G945" s="561"/>
      <c r="H945" s="561"/>
      <c r="I945" s="561"/>
      <c r="J945" s="561"/>
      <c r="K945" s="562"/>
      <c r="L945" s="563"/>
      <c r="M945" s="563"/>
      <c r="N945" s="563"/>
      <c r="O945" s="564"/>
      <c r="P945" s="564"/>
    </row>
    <row r="946" spans="1:16" ht="21.75" customHeight="1" x14ac:dyDescent="0.25">
      <c r="A946" s="560"/>
      <c r="B946" s="560"/>
      <c r="C946" s="560"/>
      <c r="D946" s="560"/>
      <c r="E946" s="561"/>
      <c r="F946" s="561"/>
      <c r="G946" s="561"/>
      <c r="H946" s="561"/>
      <c r="I946" s="561"/>
      <c r="J946" s="561"/>
      <c r="K946" s="562"/>
      <c r="L946" s="563"/>
      <c r="M946" s="563"/>
      <c r="N946" s="563"/>
      <c r="O946" s="564"/>
      <c r="P946" s="564"/>
    </row>
    <row r="947" spans="1:16" ht="21.75" customHeight="1" x14ac:dyDescent="0.25">
      <c r="A947" s="560"/>
      <c r="B947" s="560"/>
      <c r="C947" s="560"/>
      <c r="D947" s="560"/>
      <c r="E947" s="561"/>
      <c r="F947" s="561"/>
      <c r="G947" s="561"/>
      <c r="H947" s="561"/>
      <c r="I947" s="561"/>
      <c r="J947" s="561"/>
      <c r="K947" s="562"/>
      <c r="L947" s="563"/>
      <c r="M947" s="563"/>
      <c r="N947" s="563"/>
      <c r="O947" s="564"/>
      <c r="P947" s="564"/>
    </row>
    <row r="948" spans="1:16" ht="21.75" customHeight="1" x14ac:dyDescent="0.25">
      <c r="A948" s="560"/>
      <c r="B948" s="560"/>
      <c r="C948" s="560"/>
      <c r="D948" s="560"/>
      <c r="E948" s="561"/>
      <c r="F948" s="561"/>
      <c r="G948" s="561"/>
      <c r="H948" s="561"/>
      <c r="I948" s="561"/>
      <c r="J948" s="561"/>
      <c r="K948" s="562"/>
      <c r="L948" s="563"/>
      <c r="M948" s="563"/>
      <c r="N948" s="563"/>
      <c r="O948" s="564"/>
      <c r="P948" s="564"/>
    </row>
    <row r="949" spans="1:16" ht="21.75" customHeight="1" x14ac:dyDescent="0.25">
      <c r="A949" s="560"/>
      <c r="B949" s="560"/>
      <c r="C949" s="560"/>
      <c r="D949" s="560"/>
      <c r="E949" s="561"/>
      <c r="F949" s="561"/>
      <c r="G949" s="561"/>
      <c r="H949" s="561"/>
      <c r="I949" s="561"/>
      <c r="J949" s="561"/>
      <c r="K949" s="562"/>
      <c r="L949" s="563"/>
      <c r="M949" s="563"/>
      <c r="N949" s="563"/>
      <c r="O949" s="564"/>
      <c r="P949" s="564"/>
    </row>
    <row r="950" spans="1:16" ht="21.75" customHeight="1" x14ac:dyDescent="0.25">
      <c r="A950" s="560"/>
      <c r="B950" s="560"/>
      <c r="C950" s="560"/>
      <c r="D950" s="560"/>
      <c r="E950" s="561"/>
      <c r="F950" s="561"/>
      <c r="G950" s="561"/>
      <c r="H950" s="561"/>
      <c r="I950" s="561"/>
      <c r="J950" s="561"/>
      <c r="K950" s="562"/>
      <c r="L950" s="563"/>
      <c r="M950" s="563"/>
      <c r="N950" s="563"/>
      <c r="O950" s="564"/>
      <c r="P950" s="564"/>
    </row>
    <row r="951" spans="1:16" ht="21.75" customHeight="1" x14ac:dyDescent="0.25">
      <c r="A951" s="560"/>
      <c r="B951" s="560"/>
      <c r="C951" s="560"/>
      <c r="D951" s="560"/>
      <c r="E951" s="561"/>
      <c r="F951" s="561"/>
      <c r="G951" s="561"/>
      <c r="H951" s="561"/>
      <c r="I951" s="561"/>
      <c r="J951" s="561"/>
      <c r="K951" s="562"/>
      <c r="L951" s="563"/>
      <c r="M951" s="563"/>
      <c r="N951" s="563"/>
      <c r="O951" s="564"/>
      <c r="P951" s="564"/>
    </row>
    <row r="952" spans="1:16" ht="21.75" customHeight="1" x14ac:dyDescent="0.25">
      <c r="A952" s="560"/>
      <c r="B952" s="560"/>
      <c r="C952" s="560"/>
      <c r="D952" s="560"/>
      <c r="E952" s="561"/>
      <c r="F952" s="561"/>
      <c r="G952" s="561"/>
      <c r="H952" s="561"/>
      <c r="I952" s="561"/>
      <c r="J952" s="561"/>
      <c r="K952" s="562"/>
      <c r="L952" s="563"/>
      <c r="M952" s="563"/>
      <c r="N952" s="563"/>
      <c r="O952" s="564"/>
      <c r="P952" s="564"/>
    </row>
    <row r="953" spans="1:16" ht="21.75" customHeight="1" x14ac:dyDescent="0.25">
      <c r="A953" s="560"/>
      <c r="B953" s="560"/>
      <c r="C953" s="560"/>
      <c r="D953" s="560"/>
      <c r="E953" s="561"/>
      <c r="F953" s="561"/>
      <c r="G953" s="561"/>
      <c r="H953" s="561"/>
      <c r="I953" s="561"/>
      <c r="J953" s="561"/>
      <c r="K953" s="562"/>
      <c r="L953" s="563"/>
      <c r="M953" s="563"/>
      <c r="N953" s="563"/>
      <c r="O953" s="564"/>
      <c r="P953" s="564"/>
    </row>
    <row r="954" spans="1:16" ht="21.75" customHeight="1" x14ac:dyDescent="0.25">
      <c r="A954" s="560"/>
      <c r="B954" s="560"/>
      <c r="C954" s="560"/>
      <c r="D954" s="560"/>
      <c r="E954" s="561"/>
      <c r="F954" s="561"/>
      <c r="G954" s="561"/>
      <c r="H954" s="561"/>
      <c r="I954" s="561"/>
      <c r="J954" s="561"/>
      <c r="K954" s="562"/>
      <c r="L954" s="563"/>
      <c r="M954" s="563"/>
      <c r="N954" s="563"/>
      <c r="O954" s="564"/>
      <c r="P954" s="564"/>
    </row>
    <row r="955" spans="1:16" ht="21.75" customHeight="1" x14ac:dyDescent="0.25">
      <c r="A955" s="560"/>
      <c r="B955" s="560"/>
      <c r="C955" s="560"/>
      <c r="D955" s="560"/>
      <c r="E955" s="561"/>
      <c r="F955" s="561"/>
      <c r="G955" s="561"/>
      <c r="H955" s="561"/>
      <c r="I955" s="561"/>
      <c r="J955" s="561"/>
      <c r="K955" s="562"/>
      <c r="L955" s="563"/>
      <c r="M955" s="563"/>
      <c r="N955" s="563"/>
      <c r="O955" s="564"/>
      <c r="P955" s="564"/>
    </row>
    <row r="956" spans="1:16" ht="21.75" customHeight="1" x14ac:dyDescent="0.25">
      <c r="A956" s="560"/>
      <c r="B956" s="560"/>
      <c r="C956" s="560"/>
      <c r="D956" s="560"/>
      <c r="E956" s="561"/>
      <c r="F956" s="561"/>
      <c r="G956" s="561"/>
      <c r="H956" s="561"/>
      <c r="I956" s="561"/>
      <c r="J956" s="561"/>
      <c r="K956" s="562"/>
      <c r="L956" s="563"/>
      <c r="M956" s="563"/>
      <c r="N956" s="563"/>
      <c r="O956" s="564"/>
      <c r="P956" s="564"/>
    </row>
    <row r="957" spans="1:16" ht="21.75" customHeight="1" x14ac:dyDescent="0.25">
      <c r="A957" s="560"/>
      <c r="B957" s="560"/>
      <c r="C957" s="560"/>
      <c r="D957" s="560"/>
      <c r="E957" s="561"/>
      <c r="F957" s="561"/>
      <c r="G957" s="561"/>
      <c r="H957" s="561"/>
      <c r="I957" s="561"/>
      <c r="J957" s="561"/>
      <c r="K957" s="562"/>
      <c r="L957" s="563"/>
      <c r="M957" s="563"/>
      <c r="N957" s="563"/>
      <c r="O957" s="564"/>
      <c r="P957" s="564"/>
    </row>
    <row r="958" spans="1:16" ht="21.75" customHeight="1" x14ac:dyDescent="0.25">
      <c r="A958" s="560"/>
      <c r="B958" s="560"/>
      <c r="C958" s="560"/>
      <c r="D958" s="560"/>
      <c r="E958" s="561"/>
      <c r="F958" s="561"/>
      <c r="G958" s="561"/>
      <c r="H958" s="561"/>
      <c r="I958" s="561"/>
      <c r="J958" s="561"/>
      <c r="K958" s="562"/>
      <c r="L958" s="563"/>
      <c r="M958" s="563"/>
      <c r="N958" s="563"/>
      <c r="O958" s="564"/>
      <c r="P958" s="564"/>
    </row>
    <row r="959" spans="1:16" ht="21.75" customHeight="1" x14ac:dyDescent="0.25">
      <c r="A959" s="560"/>
      <c r="B959" s="560"/>
      <c r="C959" s="560"/>
      <c r="D959" s="560"/>
      <c r="E959" s="561"/>
      <c r="F959" s="561"/>
      <c r="G959" s="561"/>
      <c r="H959" s="561"/>
      <c r="I959" s="561"/>
      <c r="J959" s="561"/>
      <c r="K959" s="562"/>
      <c r="L959" s="563"/>
      <c r="M959" s="563"/>
      <c r="N959" s="563"/>
      <c r="O959" s="564"/>
      <c r="P959" s="564"/>
    </row>
    <row r="960" spans="1:16" ht="21.75" customHeight="1" x14ac:dyDescent="0.25">
      <c r="A960" s="560"/>
      <c r="B960" s="560"/>
      <c r="C960" s="560"/>
      <c r="D960" s="560"/>
      <c r="E960" s="561"/>
      <c r="F960" s="561"/>
      <c r="G960" s="561"/>
      <c r="H960" s="561"/>
      <c r="I960" s="561"/>
      <c r="J960" s="561"/>
      <c r="K960" s="562"/>
      <c r="L960" s="563"/>
      <c r="M960" s="563"/>
      <c r="N960" s="563"/>
      <c r="O960" s="564"/>
      <c r="P960" s="564"/>
    </row>
    <row r="961" spans="1:16" ht="21.75" customHeight="1" x14ac:dyDescent="0.25">
      <c r="A961" s="560"/>
      <c r="B961" s="560"/>
      <c r="C961" s="560"/>
      <c r="D961" s="560"/>
      <c r="E961" s="561"/>
      <c r="F961" s="561"/>
      <c r="G961" s="561"/>
      <c r="H961" s="561"/>
      <c r="I961" s="561"/>
      <c r="J961" s="561"/>
      <c r="K961" s="562"/>
      <c r="L961" s="563"/>
      <c r="M961" s="563"/>
      <c r="N961" s="563"/>
      <c r="O961" s="564"/>
      <c r="P961" s="564"/>
    </row>
    <row r="962" spans="1:16" ht="21.75" customHeight="1" x14ac:dyDescent="0.25">
      <c r="A962" s="560"/>
      <c r="B962" s="560"/>
      <c r="C962" s="560"/>
      <c r="D962" s="560"/>
      <c r="E962" s="561"/>
      <c r="F962" s="561"/>
      <c r="G962" s="561"/>
      <c r="H962" s="561"/>
      <c r="I962" s="561"/>
      <c r="J962" s="561"/>
      <c r="K962" s="562"/>
      <c r="L962" s="563"/>
      <c r="M962" s="563"/>
      <c r="N962" s="563"/>
      <c r="O962" s="564"/>
      <c r="P962" s="564"/>
    </row>
    <row r="963" spans="1:16" ht="21.75" customHeight="1" x14ac:dyDescent="0.25">
      <c r="A963" s="560"/>
      <c r="B963" s="560"/>
      <c r="C963" s="560"/>
      <c r="D963" s="560"/>
      <c r="E963" s="561"/>
      <c r="F963" s="561"/>
      <c r="G963" s="561"/>
      <c r="H963" s="561"/>
      <c r="I963" s="561"/>
      <c r="J963" s="561"/>
      <c r="K963" s="562"/>
      <c r="L963" s="563"/>
      <c r="M963" s="563"/>
      <c r="N963" s="563"/>
      <c r="O963" s="564"/>
      <c r="P963" s="564"/>
    </row>
    <row r="964" spans="1:16" ht="21.75" customHeight="1" x14ac:dyDescent="0.25">
      <c r="A964" s="560"/>
      <c r="B964" s="560"/>
      <c r="C964" s="560"/>
      <c r="D964" s="560"/>
      <c r="E964" s="561"/>
      <c r="F964" s="561"/>
      <c r="G964" s="561"/>
      <c r="H964" s="561"/>
      <c r="I964" s="561"/>
      <c r="J964" s="561"/>
      <c r="K964" s="562"/>
      <c r="L964" s="563"/>
      <c r="M964" s="563"/>
      <c r="N964" s="563"/>
      <c r="O964" s="564"/>
      <c r="P964" s="564"/>
    </row>
    <row r="965" spans="1:16" ht="21.75" customHeight="1" x14ac:dyDescent="0.25">
      <c r="A965" s="560"/>
      <c r="B965" s="560"/>
      <c r="C965" s="560"/>
      <c r="D965" s="560"/>
      <c r="E965" s="561"/>
      <c r="F965" s="561"/>
      <c r="G965" s="561"/>
      <c r="H965" s="561"/>
      <c r="I965" s="561"/>
      <c r="J965" s="561"/>
      <c r="K965" s="562"/>
      <c r="L965" s="563"/>
      <c r="M965" s="563"/>
      <c r="N965" s="563"/>
      <c r="O965" s="564"/>
      <c r="P965" s="564"/>
    </row>
    <row r="966" spans="1:16" ht="21.75" customHeight="1" x14ac:dyDescent="0.25">
      <c r="A966" s="560"/>
      <c r="B966" s="560"/>
      <c r="C966" s="560"/>
      <c r="D966" s="560"/>
      <c r="E966" s="561"/>
      <c r="F966" s="561"/>
      <c r="G966" s="561"/>
      <c r="H966" s="561"/>
      <c r="I966" s="561"/>
      <c r="J966" s="561"/>
      <c r="K966" s="562"/>
      <c r="L966" s="563"/>
      <c r="M966" s="563"/>
      <c r="N966" s="563"/>
      <c r="O966" s="564"/>
      <c r="P966" s="564"/>
    </row>
    <row r="967" spans="1:16" ht="21.75" customHeight="1" x14ac:dyDescent="0.25">
      <c r="A967" s="560"/>
      <c r="B967" s="560"/>
      <c r="C967" s="560"/>
      <c r="D967" s="560"/>
      <c r="E967" s="561"/>
      <c r="F967" s="561"/>
      <c r="G967" s="561"/>
      <c r="H967" s="561"/>
      <c r="I967" s="561"/>
      <c r="J967" s="561"/>
      <c r="K967" s="562"/>
      <c r="L967" s="563"/>
      <c r="M967" s="563"/>
      <c r="N967" s="563"/>
      <c r="O967" s="564"/>
      <c r="P967" s="564"/>
    </row>
    <row r="968" spans="1:16" ht="21.75" customHeight="1" x14ac:dyDescent="0.25">
      <c r="A968" s="560"/>
      <c r="B968" s="560"/>
      <c r="C968" s="560"/>
      <c r="D968" s="560"/>
      <c r="E968" s="561"/>
      <c r="F968" s="561"/>
      <c r="G968" s="561"/>
      <c r="H968" s="561"/>
      <c r="I968" s="561"/>
      <c r="J968" s="561"/>
      <c r="K968" s="562"/>
      <c r="L968" s="563"/>
      <c r="M968" s="563"/>
      <c r="N968" s="563"/>
      <c r="O968" s="564"/>
      <c r="P968" s="564"/>
    </row>
    <row r="969" spans="1:16" ht="21.75" customHeight="1" x14ac:dyDescent="0.25">
      <c r="A969" s="560"/>
      <c r="B969" s="560"/>
      <c r="C969" s="560"/>
      <c r="D969" s="560"/>
      <c r="E969" s="561"/>
      <c r="F969" s="561"/>
      <c r="G969" s="561"/>
      <c r="H969" s="561"/>
      <c r="I969" s="561"/>
      <c r="J969" s="561"/>
      <c r="K969" s="562"/>
      <c r="L969" s="563"/>
      <c r="M969" s="563"/>
      <c r="N969" s="563"/>
      <c r="O969" s="564"/>
      <c r="P969" s="564"/>
    </row>
    <row r="970" spans="1:16" ht="21.75" customHeight="1" x14ac:dyDescent="0.25">
      <c r="A970" s="560"/>
      <c r="B970" s="560"/>
      <c r="C970" s="560"/>
      <c r="D970" s="560"/>
      <c r="E970" s="561"/>
      <c r="F970" s="561"/>
      <c r="G970" s="561"/>
      <c r="H970" s="561"/>
      <c r="I970" s="561"/>
      <c r="J970" s="561"/>
      <c r="K970" s="562"/>
      <c r="L970" s="563"/>
      <c r="M970" s="563"/>
      <c r="N970" s="563"/>
      <c r="O970" s="564"/>
      <c r="P970" s="564"/>
    </row>
    <row r="971" spans="1:16" ht="21.75" customHeight="1" x14ac:dyDescent="0.25">
      <c r="A971" s="560"/>
      <c r="B971" s="560"/>
      <c r="C971" s="560"/>
      <c r="D971" s="560"/>
      <c r="E971" s="561"/>
      <c r="F971" s="561"/>
      <c r="G971" s="561"/>
      <c r="H971" s="561"/>
      <c r="I971" s="561"/>
      <c r="J971" s="561"/>
      <c r="K971" s="562"/>
      <c r="L971" s="563"/>
      <c r="M971" s="563"/>
      <c r="N971" s="563"/>
      <c r="O971" s="564"/>
      <c r="P971" s="564"/>
    </row>
    <row r="972" spans="1:16" ht="21.75" customHeight="1" x14ac:dyDescent="0.25">
      <c r="A972" s="560"/>
      <c r="B972" s="560"/>
      <c r="C972" s="560"/>
      <c r="D972" s="560"/>
      <c r="E972" s="561"/>
      <c r="F972" s="561"/>
      <c r="G972" s="561"/>
      <c r="H972" s="561"/>
      <c r="I972" s="561"/>
      <c r="J972" s="561"/>
      <c r="K972" s="562"/>
      <c r="L972" s="563"/>
      <c r="M972" s="563"/>
      <c r="N972" s="563"/>
      <c r="O972" s="564"/>
      <c r="P972" s="564"/>
    </row>
    <row r="973" spans="1:16" ht="21.75" customHeight="1" x14ac:dyDescent="0.25">
      <c r="A973" s="560"/>
      <c r="B973" s="560"/>
      <c r="C973" s="560"/>
      <c r="D973" s="560"/>
      <c r="E973" s="561"/>
      <c r="F973" s="561"/>
      <c r="G973" s="561"/>
      <c r="H973" s="561"/>
      <c r="I973" s="561"/>
      <c r="J973" s="561"/>
      <c r="K973" s="562"/>
      <c r="L973" s="563"/>
      <c r="M973" s="563"/>
      <c r="N973" s="563"/>
      <c r="O973" s="564"/>
      <c r="P973" s="564"/>
    </row>
    <row r="974" spans="1:16" ht="21.75" customHeight="1" x14ac:dyDescent="0.25">
      <c r="A974" s="560"/>
      <c r="B974" s="560"/>
      <c r="C974" s="560"/>
      <c r="D974" s="560"/>
      <c r="E974" s="561"/>
      <c r="F974" s="561"/>
      <c r="G974" s="561"/>
      <c r="H974" s="561"/>
      <c r="I974" s="561"/>
      <c r="J974" s="561"/>
      <c r="K974" s="562"/>
      <c r="L974" s="563"/>
      <c r="M974" s="563"/>
      <c r="N974" s="563"/>
      <c r="O974" s="564"/>
      <c r="P974" s="564"/>
    </row>
    <row r="975" spans="1:16" ht="21.75" customHeight="1" x14ac:dyDescent="0.25">
      <c r="A975" s="560"/>
      <c r="B975" s="560"/>
      <c r="C975" s="560"/>
      <c r="D975" s="560"/>
      <c r="E975" s="561"/>
      <c r="F975" s="561"/>
      <c r="G975" s="561"/>
      <c r="H975" s="561"/>
      <c r="I975" s="561"/>
      <c r="J975" s="561"/>
      <c r="K975" s="562"/>
      <c r="L975" s="563"/>
      <c r="M975" s="563"/>
      <c r="N975" s="563"/>
      <c r="O975" s="564"/>
      <c r="P975" s="564"/>
    </row>
    <row r="976" spans="1:16" ht="21.75" customHeight="1" x14ac:dyDescent="0.25">
      <c r="A976" s="560"/>
      <c r="B976" s="560"/>
      <c r="C976" s="560"/>
      <c r="D976" s="560"/>
      <c r="E976" s="561"/>
      <c r="F976" s="561"/>
      <c r="G976" s="561"/>
      <c r="H976" s="561"/>
      <c r="I976" s="561"/>
      <c r="J976" s="561"/>
      <c r="K976" s="562"/>
      <c r="L976" s="563"/>
      <c r="M976" s="563"/>
      <c r="N976" s="563"/>
      <c r="O976" s="564"/>
      <c r="P976" s="564"/>
    </row>
    <row r="977" spans="1:16" ht="21.75" customHeight="1" x14ac:dyDescent="0.25">
      <c r="A977" s="560"/>
      <c r="B977" s="560"/>
      <c r="C977" s="560"/>
      <c r="D977" s="560"/>
      <c r="E977" s="561"/>
      <c r="F977" s="561"/>
      <c r="G977" s="561"/>
      <c r="H977" s="561"/>
      <c r="I977" s="561"/>
      <c r="J977" s="561"/>
      <c r="K977" s="562"/>
      <c r="L977" s="563"/>
      <c r="M977" s="563"/>
      <c r="N977" s="563"/>
      <c r="O977" s="564"/>
      <c r="P977" s="564"/>
    </row>
    <row r="978" spans="1:16" ht="21.75" customHeight="1" x14ac:dyDescent="0.25">
      <c r="A978" s="560"/>
      <c r="B978" s="560"/>
      <c r="C978" s="560"/>
      <c r="D978" s="560"/>
      <c r="E978" s="561"/>
      <c r="F978" s="561"/>
      <c r="G978" s="561"/>
      <c r="H978" s="561"/>
      <c r="I978" s="561"/>
      <c r="J978" s="561"/>
      <c r="K978" s="562"/>
      <c r="L978" s="563"/>
      <c r="M978" s="563"/>
      <c r="N978" s="563"/>
      <c r="O978" s="564"/>
      <c r="P978" s="564"/>
    </row>
    <row r="979" spans="1:16" ht="21.75" customHeight="1" x14ac:dyDescent="0.25">
      <c r="A979" s="560"/>
      <c r="B979" s="560"/>
      <c r="C979" s="560"/>
      <c r="D979" s="560"/>
      <c r="E979" s="561"/>
      <c r="F979" s="561"/>
      <c r="G979" s="561"/>
      <c r="H979" s="561"/>
      <c r="I979" s="561"/>
      <c r="J979" s="561"/>
      <c r="K979" s="562"/>
      <c r="L979" s="563"/>
      <c r="M979" s="563"/>
      <c r="N979" s="563"/>
      <c r="O979" s="564"/>
      <c r="P979" s="564"/>
    </row>
    <row r="980" spans="1:16" ht="21.75" customHeight="1" x14ac:dyDescent="0.25">
      <c r="A980" s="560"/>
      <c r="B980" s="560"/>
      <c r="C980" s="560"/>
      <c r="D980" s="560"/>
      <c r="E980" s="561"/>
      <c r="F980" s="561"/>
      <c r="G980" s="561"/>
      <c r="H980" s="561"/>
      <c r="I980" s="561"/>
      <c r="J980" s="561"/>
      <c r="K980" s="562"/>
      <c r="L980" s="563"/>
      <c r="M980" s="563"/>
      <c r="N980" s="563"/>
      <c r="O980" s="564"/>
      <c r="P980" s="564"/>
    </row>
    <row r="981" spans="1:16" ht="21.75" customHeight="1" x14ac:dyDescent="0.25">
      <c r="A981" s="560"/>
      <c r="B981" s="560"/>
      <c r="C981" s="560"/>
      <c r="D981" s="560"/>
      <c r="E981" s="561"/>
      <c r="F981" s="561"/>
      <c r="G981" s="561"/>
      <c r="H981" s="561"/>
      <c r="I981" s="561"/>
      <c r="J981" s="561"/>
      <c r="K981" s="562"/>
      <c r="L981" s="563"/>
      <c r="M981" s="563"/>
      <c r="N981" s="563"/>
      <c r="O981" s="564"/>
      <c r="P981" s="564"/>
    </row>
    <row r="982" spans="1:16" ht="21.75" customHeight="1" x14ac:dyDescent="0.25">
      <c r="A982" s="560"/>
      <c r="B982" s="560"/>
      <c r="C982" s="560"/>
      <c r="D982" s="560"/>
      <c r="E982" s="561"/>
      <c r="F982" s="561"/>
      <c r="G982" s="561"/>
      <c r="H982" s="561"/>
      <c r="I982" s="561"/>
      <c r="J982" s="561"/>
      <c r="K982" s="562"/>
      <c r="L982" s="563"/>
      <c r="M982" s="563"/>
      <c r="N982" s="563"/>
      <c r="O982" s="564"/>
      <c r="P982" s="564"/>
    </row>
    <row r="983" spans="1:16" ht="21.75" customHeight="1" x14ac:dyDescent="0.25">
      <c r="A983" s="560"/>
      <c r="B983" s="560"/>
      <c r="C983" s="560"/>
      <c r="D983" s="560"/>
      <c r="E983" s="561"/>
      <c r="F983" s="561"/>
      <c r="G983" s="561"/>
      <c r="H983" s="561"/>
      <c r="I983" s="561"/>
      <c r="J983" s="561"/>
      <c r="K983" s="562"/>
      <c r="L983" s="563"/>
      <c r="M983" s="563"/>
      <c r="N983" s="563"/>
      <c r="O983" s="564"/>
      <c r="P983" s="564"/>
    </row>
    <row r="984" spans="1:16" ht="21.75" customHeight="1" x14ac:dyDescent="0.25">
      <c r="A984" s="560"/>
      <c r="B984" s="560"/>
      <c r="C984" s="560"/>
      <c r="D984" s="560"/>
      <c r="E984" s="561"/>
      <c r="F984" s="561"/>
      <c r="G984" s="561"/>
      <c r="H984" s="561"/>
      <c r="I984" s="561"/>
      <c r="J984" s="561"/>
      <c r="K984" s="562"/>
      <c r="L984" s="563"/>
      <c r="M984" s="563"/>
      <c r="N984" s="563"/>
      <c r="O984" s="564"/>
      <c r="P984" s="564"/>
    </row>
    <row r="985" spans="1:16" ht="21.75" customHeight="1" x14ac:dyDescent="0.25">
      <c r="A985" s="560"/>
      <c r="B985" s="560"/>
      <c r="C985" s="560"/>
      <c r="D985" s="560"/>
      <c r="E985" s="561"/>
      <c r="F985" s="561"/>
      <c r="G985" s="561"/>
      <c r="H985" s="561"/>
      <c r="I985" s="561"/>
      <c r="J985" s="561"/>
      <c r="K985" s="562"/>
      <c r="L985" s="563"/>
      <c r="M985" s="563"/>
      <c r="N985" s="563"/>
      <c r="O985" s="564"/>
      <c r="P985" s="564"/>
    </row>
    <row r="986" spans="1:16" ht="21.75" customHeight="1" x14ac:dyDescent="0.25">
      <c r="A986" s="560"/>
      <c r="B986" s="560"/>
      <c r="C986" s="560"/>
      <c r="D986" s="560"/>
      <c r="E986" s="561"/>
      <c r="F986" s="561"/>
      <c r="G986" s="561"/>
      <c r="H986" s="561"/>
      <c r="I986" s="561"/>
      <c r="J986" s="561"/>
      <c r="K986" s="562"/>
      <c r="L986" s="563"/>
      <c r="M986" s="563"/>
      <c r="N986" s="563"/>
      <c r="O986" s="564"/>
      <c r="P986" s="564"/>
    </row>
    <row r="987" spans="1:16" ht="21.75" customHeight="1" x14ac:dyDescent="0.25">
      <c r="A987" s="560"/>
      <c r="B987" s="560"/>
      <c r="C987" s="560"/>
      <c r="D987" s="560"/>
      <c r="E987" s="561"/>
      <c r="F987" s="561"/>
      <c r="G987" s="561"/>
      <c r="H987" s="561"/>
      <c r="I987" s="561"/>
      <c r="J987" s="561"/>
      <c r="K987" s="562"/>
      <c r="L987" s="563"/>
      <c r="M987" s="563"/>
      <c r="N987" s="563"/>
      <c r="O987" s="564"/>
      <c r="P987" s="564"/>
    </row>
    <row r="988" spans="1:16" ht="21.75" customHeight="1" x14ac:dyDescent="0.25">
      <c r="A988" s="560"/>
      <c r="B988" s="560"/>
      <c r="C988" s="560"/>
      <c r="D988" s="560"/>
      <c r="E988" s="561"/>
      <c r="F988" s="561"/>
      <c r="G988" s="561"/>
      <c r="H988" s="561"/>
      <c r="I988" s="561"/>
      <c r="J988" s="561"/>
      <c r="K988" s="562"/>
      <c r="L988" s="563"/>
      <c r="M988" s="563"/>
      <c r="N988" s="563"/>
      <c r="O988" s="564"/>
      <c r="P988" s="564"/>
    </row>
    <row r="989" spans="1:16" ht="21.75" customHeight="1" x14ac:dyDescent="0.25">
      <c r="A989" s="560"/>
      <c r="B989" s="560"/>
      <c r="C989" s="560"/>
      <c r="D989" s="560"/>
      <c r="E989" s="561"/>
      <c r="F989" s="561"/>
      <c r="G989" s="561"/>
      <c r="H989" s="561"/>
      <c r="I989" s="561"/>
      <c r="J989" s="561"/>
      <c r="K989" s="562"/>
      <c r="L989" s="563"/>
      <c r="M989" s="563"/>
      <c r="N989" s="563"/>
      <c r="O989" s="564"/>
      <c r="P989" s="564"/>
    </row>
    <row r="990" spans="1:16" ht="21.75" customHeight="1" x14ac:dyDescent="0.25">
      <c r="A990" s="560"/>
      <c r="B990" s="560"/>
      <c r="C990" s="560"/>
      <c r="D990" s="560"/>
      <c r="E990" s="561"/>
      <c r="F990" s="561"/>
      <c r="G990" s="561"/>
      <c r="H990" s="561"/>
      <c r="I990" s="561"/>
      <c r="J990" s="561"/>
      <c r="K990" s="562"/>
      <c r="L990" s="563"/>
      <c r="M990" s="563"/>
      <c r="N990" s="563"/>
      <c r="O990" s="564"/>
      <c r="P990" s="564"/>
    </row>
    <row r="991" spans="1:16" ht="21.75" customHeight="1" x14ac:dyDescent="0.25">
      <c r="A991" s="560"/>
      <c r="B991" s="560"/>
      <c r="C991" s="560"/>
      <c r="D991" s="560"/>
      <c r="E991" s="561"/>
      <c r="F991" s="561"/>
      <c r="G991" s="561"/>
      <c r="H991" s="561"/>
      <c r="I991" s="561"/>
      <c r="J991" s="561"/>
      <c r="K991" s="562"/>
      <c r="L991" s="563"/>
      <c r="M991" s="563"/>
      <c r="N991" s="563"/>
      <c r="O991" s="564"/>
      <c r="P991" s="564"/>
    </row>
    <row r="992" spans="1:16" ht="21.75" customHeight="1" x14ac:dyDescent="0.25">
      <c r="A992" s="560"/>
      <c r="B992" s="560"/>
      <c r="C992" s="560"/>
      <c r="D992" s="560"/>
      <c r="E992" s="561"/>
      <c r="F992" s="561"/>
      <c r="G992" s="561"/>
      <c r="H992" s="561"/>
      <c r="I992" s="561"/>
      <c r="J992" s="561"/>
      <c r="K992" s="562"/>
      <c r="L992" s="563"/>
      <c r="M992" s="563"/>
      <c r="N992" s="563"/>
      <c r="O992" s="564"/>
      <c r="P992" s="564"/>
    </row>
    <row r="993" spans="1:16" ht="21.75" customHeight="1" x14ac:dyDescent="0.25">
      <c r="A993" s="560"/>
      <c r="B993" s="560"/>
      <c r="C993" s="560"/>
      <c r="D993" s="560"/>
      <c r="E993" s="561"/>
      <c r="F993" s="561"/>
      <c r="G993" s="561"/>
      <c r="H993" s="561"/>
      <c r="I993" s="561"/>
      <c r="J993" s="561"/>
      <c r="K993" s="562"/>
      <c r="L993" s="563"/>
      <c r="M993" s="563"/>
      <c r="N993" s="563"/>
      <c r="O993" s="564"/>
      <c r="P993" s="564"/>
    </row>
    <row r="994" spans="1:16" ht="21.75" customHeight="1" x14ac:dyDescent="0.25">
      <c r="A994" s="560"/>
      <c r="B994" s="560"/>
      <c r="C994" s="560"/>
      <c r="D994" s="560"/>
      <c r="E994" s="561"/>
      <c r="F994" s="561"/>
      <c r="G994" s="561"/>
      <c r="H994" s="561"/>
      <c r="I994" s="561"/>
      <c r="J994" s="561"/>
      <c r="K994" s="562"/>
      <c r="L994" s="563"/>
      <c r="M994" s="563"/>
      <c r="N994" s="563"/>
      <c r="O994" s="564"/>
      <c r="P994" s="564"/>
    </row>
    <row r="995" spans="1:16" ht="21.75" customHeight="1" x14ac:dyDescent="0.25">
      <c r="A995" s="560"/>
      <c r="B995" s="560"/>
      <c r="C995" s="560"/>
      <c r="D995" s="560"/>
      <c r="E995" s="561"/>
      <c r="F995" s="561"/>
      <c r="G995" s="561"/>
      <c r="H995" s="561"/>
      <c r="I995" s="561"/>
      <c r="J995" s="561"/>
      <c r="K995" s="562"/>
      <c r="L995" s="563"/>
      <c r="M995" s="563"/>
      <c r="N995" s="563"/>
      <c r="O995" s="564"/>
      <c r="P995" s="564"/>
    </row>
    <row r="996" spans="1:16" ht="21.75" customHeight="1" x14ac:dyDescent="0.25">
      <c r="A996" s="560"/>
      <c r="B996" s="560"/>
      <c r="C996" s="560"/>
      <c r="D996" s="560"/>
      <c r="E996" s="561"/>
      <c r="F996" s="561"/>
      <c r="G996" s="561"/>
      <c r="H996" s="561"/>
      <c r="I996" s="561"/>
      <c r="J996" s="561"/>
      <c r="K996" s="562"/>
      <c r="L996" s="563"/>
      <c r="M996" s="563"/>
      <c r="N996" s="563"/>
      <c r="O996" s="564"/>
      <c r="P996" s="564"/>
    </row>
    <row r="997" spans="1:16" ht="21.75" customHeight="1" x14ac:dyDescent="0.25">
      <c r="A997" s="560"/>
      <c r="B997" s="560"/>
      <c r="C997" s="560"/>
      <c r="D997" s="560"/>
      <c r="E997" s="561"/>
      <c r="F997" s="561"/>
      <c r="G997" s="561"/>
      <c r="H997" s="561"/>
      <c r="I997" s="561"/>
      <c r="J997" s="561"/>
      <c r="K997" s="562"/>
      <c r="L997" s="563"/>
      <c r="M997" s="563"/>
      <c r="N997" s="563"/>
      <c r="O997" s="564"/>
      <c r="P997" s="564"/>
    </row>
    <row r="998" spans="1:16" ht="21.75" customHeight="1" x14ac:dyDescent="0.25">
      <c r="A998" s="560"/>
      <c r="B998" s="560"/>
      <c r="C998" s="560"/>
      <c r="D998" s="560"/>
      <c r="E998" s="561"/>
      <c r="F998" s="561"/>
      <c r="G998" s="561"/>
      <c r="H998" s="561"/>
      <c r="I998" s="561"/>
      <c r="J998" s="561"/>
      <c r="K998" s="562"/>
      <c r="L998" s="563"/>
      <c r="M998" s="563"/>
      <c r="N998" s="563"/>
      <c r="O998" s="564"/>
      <c r="P998" s="564"/>
    </row>
    <row r="999" spans="1:16" ht="21.75" customHeight="1" x14ac:dyDescent="0.25">
      <c r="A999" s="560"/>
      <c r="B999" s="560"/>
      <c r="C999" s="560"/>
      <c r="D999" s="560"/>
      <c r="E999" s="561"/>
      <c r="F999" s="561"/>
      <c r="G999" s="561"/>
      <c r="H999" s="561"/>
      <c r="I999" s="561"/>
      <c r="J999" s="561"/>
      <c r="K999" s="562"/>
      <c r="L999" s="563"/>
      <c r="M999" s="563"/>
      <c r="N999" s="563"/>
      <c r="O999" s="564"/>
      <c r="P999" s="564"/>
    </row>
    <row r="1000" spans="1:16" ht="21.75" customHeight="1" x14ac:dyDescent="0.25">
      <c r="A1000" s="560"/>
      <c r="B1000" s="560"/>
      <c r="C1000" s="560"/>
      <c r="D1000" s="560"/>
      <c r="E1000" s="561"/>
      <c r="F1000" s="561"/>
      <c r="G1000" s="561"/>
      <c r="H1000" s="561"/>
      <c r="I1000" s="561"/>
      <c r="J1000" s="561"/>
      <c r="K1000" s="562"/>
      <c r="L1000" s="563"/>
      <c r="M1000" s="563"/>
      <c r="N1000" s="563"/>
      <c r="O1000" s="564"/>
      <c r="P1000" s="564"/>
    </row>
    <row r="1001" spans="1:16" ht="21.75" customHeight="1" x14ac:dyDescent="0.25">
      <c r="A1001" s="560"/>
      <c r="B1001" s="560"/>
      <c r="C1001" s="560"/>
      <c r="D1001" s="560"/>
      <c r="E1001" s="561"/>
      <c r="F1001" s="561"/>
      <c r="G1001" s="561"/>
      <c r="H1001" s="561"/>
      <c r="I1001" s="561"/>
      <c r="J1001" s="561"/>
      <c r="K1001" s="562"/>
      <c r="L1001" s="563"/>
      <c r="M1001" s="563"/>
      <c r="N1001" s="563"/>
      <c r="O1001" s="564"/>
      <c r="P1001" s="564"/>
    </row>
    <row r="1002" spans="1:16" ht="21.75" customHeight="1" x14ac:dyDescent="0.25">
      <c r="A1002" s="560"/>
      <c r="B1002" s="560"/>
      <c r="C1002" s="560"/>
      <c r="D1002" s="560"/>
      <c r="E1002" s="561"/>
      <c r="F1002" s="561"/>
      <c r="G1002" s="561"/>
      <c r="H1002" s="561"/>
      <c r="I1002" s="561"/>
      <c r="J1002" s="561"/>
      <c r="K1002" s="562"/>
      <c r="L1002" s="563"/>
      <c r="M1002" s="563"/>
      <c r="N1002" s="563"/>
      <c r="O1002" s="564"/>
      <c r="P1002" s="564"/>
    </row>
    <row r="1003" spans="1:16" ht="21.75" customHeight="1" x14ac:dyDescent="0.25">
      <c r="A1003" s="560"/>
      <c r="B1003" s="560"/>
      <c r="C1003" s="560"/>
      <c r="D1003" s="560"/>
      <c r="E1003" s="561"/>
      <c r="F1003" s="561"/>
      <c r="G1003" s="561"/>
      <c r="H1003" s="561"/>
      <c r="I1003" s="561"/>
      <c r="J1003" s="561"/>
      <c r="K1003" s="562"/>
      <c r="L1003" s="563"/>
      <c r="M1003" s="563"/>
      <c r="N1003" s="563"/>
      <c r="O1003" s="564"/>
      <c r="P1003" s="564"/>
    </row>
    <row r="1004" spans="1:16" ht="21.75" customHeight="1" x14ac:dyDescent="0.25">
      <c r="A1004" s="560"/>
      <c r="B1004" s="560"/>
      <c r="C1004" s="560"/>
      <c r="D1004" s="560"/>
      <c r="E1004" s="561"/>
      <c r="F1004" s="561"/>
      <c r="G1004" s="561"/>
      <c r="H1004" s="561"/>
      <c r="I1004" s="561"/>
      <c r="J1004" s="561"/>
      <c r="K1004" s="562"/>
      <c r="L1004" s="563"/>
      <c r="M1004" s="563"/>
      <c r="N1004" s="563"/>
      <c r="O1004" s="564"/>
      <c r="P1004" s="564"/>
    </row>
    <row r="1005" spans="1:16" ht="21.75" customHeight="1" x14ac:dyDescent="0.25">
      <c r="A1005" s="560"/>
      <c r="B1005" s="560"/>
      <c r="C1005" s="560"/>
      <c r="D1005" s="560"/>
      <c r="E1005" s="561"/>
      <c r="F1005" s="561"/>
      <c r="G1005" s="561"/>
      <c r="H1005" s="561"/>
      <c r="I1005" s="561"/>
      <c r="J1005" s="561"/>
      <c r="K1005" s="562"/>
      <c r="L1005" s="563"/>
      <c r="M1005" s="563"/>
      <c r="N1005" s="563"/>
      <c r="O1005" s="564"/>
      <c r="P1005" s="564"/>
    </row>
    <row r="1006" spans="1:16" ht="21.75" customHeight="1" x14ac:dyDescent="0.25">
      <c r="A1006" s="560"/>
      <c r="B1006" s="560"/>
      <c r="C1006" s="560"/>
      <c r="D1006" s="560"/>
      <c r="E1006" s="561"/>
      <c r="F1006" s="561"/>
      <c r="G1006" s="561"/>
      <c r="H1006" s="561"/>
      <c r="I1006" s="561"/>
      <c r="J1006" s="561"/>
      <c r="K1006" s="562"/>
      <c r="L1006" s="563"/>
      <c r="M1006" s="563"/>
      <c r="N1006" s="563"/>
      <c r="O1006" s="564"/>
      <c r="P1006" s="564"/>
    </row>
    <row r="1007" spans="1:16" ht="21.75" customHeight="1" x14ac:dyDescent="0.25">
      <c r="A1007" s="560"/>
      <c r="B1007" s="560"/>
      <c r="C1007" s="560"/>
      <c r="D1007" s="560"/>
      <c r="E1007" s="561"/>
      <c r="F1007" s="561"/>
      <c r="G1007" s="561"/>
      <c r="H1007" s="561"/>
      <c r="I1007" s="561"/>
      <c r="J1007" s="561"/>
      <c r="K1007" s="562"/>
      <c r="L1007" s="563"/>
      <c r="M1007" s="563"/>
      <c r="N1007" s="563"/>
      <c r="O1007" s="564"/>
      <c r="P1007" s="564"/>
    </row>
    <row r="1008" spans="1:16" ht="21.75" customHeight="1" x14ac:dyDescent="0.25">
      <c r="A1008" s="560"/>
      <c r="B1008" s="560"/>
      <c r="C1008" s="560"/>
      <c r="D1008" s="560"/>
      <c r="E1008" s="561"/>
      <c r="F1008" s="561"/>
      <c r="G1008" s="561"/>
      <c r="H1008" s="561"/>
      <c r="I1008" s="561"/>
      <c r="J1008" s="561"/>
      <c r="K1008" s="562"/>
      <c r="L1008" s="563"/>
      <c r="M1008" s="563"/>
      <c r="N1008" s="563"/>
      <c r="O1008" s="564"/>
      <c r="P1008" s="564"/>
    </row>
    <row r="1009" spans="1:16" ht="21.75" customHeight="1" x14ac:dyDescent="0.25">
      <c r="A1009" s="560"/>
      <c r="B1009" s="560"/>
      <c r="C1009" s="560"/>
      <c r="D1009" s="560"/>
      <c r="E1009" s="561"/>
      <c r="F1009" s="561"/>
      <c r="G1009" s="561"/>
      <c r="H1009" s="561"/>
      <c r="I1009" s="561"/>
      <c r="J1009" s="561"/>
      <c r="K1009" s="562"/>
      <c r="L1009" s="563"/>
      <c r="M1009" s="563"/>
      <c r="N1009" s="563"/>
      <c r="O1009" s="564"/>
      <c r="P1009" s="564"/>
    </row>
    <row r="1010" spans="1:16" ht="21.75" customHeight="1" x14ac:dyDescent="0.25">
      <c r="A1010" s="560"/>
      <c r="B1010" s="560"/>
      <c r="C1010" s="560"/>
      <c r="D1010" s="560"/>
      <c r="E1010" s="561"/>
      <c r="F1010" s="561"/>
      <c r="G1010" s="561"/>
      <c r="H1010" s="561"/>
      <c r="I1010" s="561"/>
      <c r="J1010" s="561"/>
      <c r="K1010" s="562"/>
      <c r="L1010" s="563"/>
      <c r="M1010" s="563"/>
      <c r="N1010" s="563"/>
      <c r="O1010" s="564"/>
      <c r="P1010" s="564"/>
    </row>
    <row r="1011" spans="1:16" ht="21.75" customHeight="1" x14ac:dyDescent="0.25">
      <c r="A1011" s="560"/>
      <c r="B1011" s="560"/>
      <c r="C1011" s="560"/>
      <c r="D1011" s="560"/>
      <c r="E1011" s="561"/>
      <c r="F1011" s="561"/>
      <c r="G1011" s="561"/>
      <c r="H1011" s="561"/>
      <c r="I1011" s="561"/>
      <c r="J1011" s="561"/>
      <c r="K1011" s="562"/>
      <c r="L1011" s="563"/>
      <c r="M1011" s="563"/>
      <c r="N1011" s="563"/>
      <c r="O1011" s="564"/>
      <c r="P1011" s="564"/>
    </row>
    <row r="1012" spans="1:16" ht="21.75" customHeight="1" x14ac:dyDescent="0.25">
      <c r="A1012" s="560"/>
      <c r="B1012" s="560"/>
      <c r="C1012" s="560"/>
      <c r="D1012" s="560"/>
      <c r="E1012" s="561"/>
      <c r="F1012" s="561"/>
      <c r="G1012" s="561"/>
      <c r="H1012" s="561"/>
      <c r="I1012" s="561"/>
      <c r="J1012" s="561"/>
      <c r="K1012" s="562"/>
      <c r="L1012" s="563"/>
      <c r="M1012" s="563"/>
      <c r="N1012" s="563"/>
      <c r="O1012" s="564"/>
      <c r="P1012" s="564"/>
    </row>
    <row r="1013" spans="1:16" ht="21.75" customHeight="1" x14ac:dyDescent="0.25">
      <c r="A1013" s="560"/>
      <c r="B1013" s="560"/>
      <c r="C1013" s="560"/>
      <c r="D1013" s="560"/>
      <c r="E1013" s="561"/>
      <c r="F1013" s="561"/>
      <c r="G1013" s="561"/>
      <c r="H1013" s="561"/>
      <c r="I1013" s="561"/>
      <c r="J1013" s="561"/>
      <c r="K1013" s="562"/>
      <c r="L1013" s="563"/>
      <c r="M1013" s="563"/>
      <c r="N1013" s="563"/>
      <c r="O1013" s="564"/>
      <c r="P1013" s="564"/>
    </row>
    <row r="1014" spans="1:16" ht="21.75" customHeight="1" x14ac:dyDescent="0.25">
      <c r="A1014" s="560"/>
      <c r="B1014" s="560"/>
      <c r="C1014" s="560"/>
      <c r="D1014" s="560"/>
      <c r="E1014" s="561"/>
      <c r="F1014" s="561"/>
      <c r="G1014" s="561"/>
      <c r="H1014" s="561"/>
      <c r="I1014" s="561"/>
      <c r="J1014" s="561"/>
      <c r="K1014" s="562"/>
      <c r="L1014" s="563"/>
      <c r="M1014" s="563"/>
      <c r="N1014" s="563"/>
      <c r="O1014" s="564"/>
      <c r="P1014" s="564"/>
    </row>
    <row r="1015" spans="1:16" ht="21.75" customHeight="1" x14ac:dyDescent="0.25">
      <c r="A1015" s="560"/>
      <c r="B1015" s="560"/>
      <c r="C1015" s="560"/>
      <c r="D1015" s="560"/>
      <c r="E1015" s="561"/>
      <c r="F1015" s="561"/>
      <c r="G1015" s="561"/>
      <c r="H1015" s="561"/>
      <c r="I1015" s="561"/>
      <c r="J1015" s="561"/>
      <c r="K1015" s="562"/>
      <c r="L1015" s="563"/>
      <c r="M1015" s="563"/>
      <c r="N1015" s="563"/>
      <c r="O1015" s="564"/>
      <c r="P1015" s="564"/>
    </row>
    <row r="1016" spans="1:16" ht="21.75" customHeight="1" x14ac:dyDescent="0.25">
      <c r="A1016" s="560"/>
      <c r="B1016" s="560"/>
      <c r="C1016" s="560"/>
      <c r="D1016" s="560"/>
      <c r="E1016" s="561"/>
      <c r="F1016" s="561"/>
      <c r="G1016" s="561"/>
      <c r="H1016" s="561"/>
      <c r="I1016" s="561"/>
      <c r="J1016" s="561"/>
      <c r="K1016" s="562"/>
      <c r="L1016" s="563"/>
      <c r="M1016" s="563"/>
      <c r="N1016" s="563"/>
      <c r="O1016" s="564"/>
      <c r="P1016" s="564"/>
    </row>
    <row r="1017" spans="1:16" ht="21.75" customHeight="1" x14ac:dyDescent="0.25">
      <c r="A1017" s="560"/>
      <c r="B1017" s="560"/>
      <c r="C1017" s="560"/>
      <c r="D1017" s="560"/>
      <c r="E1017" s="561"/>
      <c r="F1017" s="561"/>
      <c r="G1017" s="561"/>
      <c r="H1017" s="561"/>
      <c r="I1017" s="561"/>
      <c r="J1017" s="561"/>
      <c r="K1017" s="562"/>
      <c r="L1017" s="563"/>
      <c r="M1017" s="563"/>
      <c r="N1017" s="563"/>
      <c r="O1017" s="564"/>
      <c r="P1017" s="564"/>
    </row>
    <row r="1018" spans="1:16" ht="21.75" customHeight="1" x14ac:dyDescent="0.25">
      <c r="A1018" s="560"/>
      <c r="B1018" s="560"/>
      <c r="C1018" s="560"/>
      <c r="D1018" s="560"/>
      <c r="E1018" s="561"/>
      <c r="F1018" s="561"/>
      <c r="G1018" s="561"/>
      <c r="H1018" s="561"/>
      <c r="I1018" s="561"/>
      <c r="J1018" s="561"/>
      <c r="K1018" s="562"/>
      <c r="L1018" s="563"/>
      <c r="M1018" s="563"/>
      <c r="N1018" s="563"/>
      <c r="O1018" s="564"/>
      <c r="P1018" s="564"/>
    </row>
    <row r="1019" spans="1:16" ht="21.75" customHeight="1" x14ac:dyDescent="0.25">
      <c r="A1019" s="560"/>
      <c r="B1019" s="560"/>
      <c r="C1019" s="560"/>
      <c r="D1019" s="560"/>
      <c r="E1019" s="561"/>
      <c r="F1019" s="561"/>
      <c r="G1019" s="561"/>
      <c r="H1019" s="561"/>
      <c r="I1019" s="561"/>
      <c r="J1019" s="561"/>
      <c r="K1019" s="562"/>
      <c r="L1019" s="563"/>
      <c r="M1019" s="563"/>
      <c r="N1019" s="563"/>
      <c r="O1019" s="564"/>
      <c r="P1019" s="564"/>
    </row>
    <row r="1020" spans="1:16" ht="21.75" customHeight="1" x14ac:dyDescent="0.25">
      <c r="A1020" s="560"/>
      <c r="B1020" s="560"/>
      <c r="C1020" s="560"/>
      <c r="D1020" s="560"/>
      <c r="E1020" s="561"/>
      <c r="F1020" s="561"/>
      <c r="G1020" s="561"/>
      <c r="H1020" s="561"/>
      <c r="I1020" s="561"/>
      <c r="J1020" s="561"/>
      <c r="K1020" s="562"/>
      <c r="L1020" s="563"/>
      <c r="M1020" s="563"/>
      <c r="N1020" s="563"/>
      <c r="O1020" s="564"/>
      <c r="P1020" s="564"/>
    </row>
    <row r="1021" spans="1:16" ht="21.75" customHeight="1" x14ac:dyDescent="0.25">
      <c r="A1021" s="560"/>
      <c r="B1021" s="560"/>
      <c r="C1021" s="560"/>
      <c r="D1021" s="560"/>
      <c r="E1021" s="561"/>
      <c r="F1021" s="561"/>
      <c r="G1021" s="561"/>
      <c r="H1021" s="561"/>
      <c r="I1021" s="561"/>
      <c r="J1021" s="561"/>
      <c r="K1021" s="562"/>
      <c r="L1021" s="563"/>
      <c r="M1021" s="563"/>
      <c r="N1021" s="563"/>
      <c r="O1021" s="564"/>
      <c r="P1021" s="564"/>
    </row>
    <row r="1022" spans="1:16" ht="21.75" customHeight="1" x14ac:dyDescent="0.25">
      <c r="A1022" s="560"/>
      <c r="B1022" s="560"/>
      <c r="C1022" s="560"/>
      <c r="D1022" s="560"/>
      <c r="E1022" s="561"/>
      <c r="F1022" s="561"/>
      <c r="G1022" s="561"/>
      <c r="H1022" s="561"/>
      <c r="I1022" s="561"/>
      <c r="J1022" s="561"/>
      <c r="K1022" s="562"/>
      <c r="L1022" s="563"/>
      <c r="M1022" s="563"/>
      <c r="N1022" s="563"/>
      <c r="O1022" s="564"/>
      <c r="P1022" s="564"/>
    </row>
    <row r="1023" spans="1:16" ht="21.75" customHeight="1" x14ac:dyDescent="0.25">
      <c r="A1023" s="560"/>
      <c r="B1023" s="560"/>
      <c r="C1023" s="560"/>
      <c r="D1023" s="560"/>
      <c r="E1023" s="561"/>
      <c r="F1023" s="561"/>
      <c r="G1023" s="561"/>
      <c r="H1023" s="561"/>
      <c r="I1023" s="561"/>
      <c r="J1023" s="561"/>
      <c r="K1023" s="562"/>
      <c r="L1023" s="563"/>
      <c r="M1023" s="563"/>
      <c r="N1023" s="563"/>
      <c r="O1023" s="564"/>
      <c r="P1023" s="564"/>
    </row>
    <row r="1024" spans="1:16" ht="21.75" customHeight="1" x14ac:dyDescent="0.25">
      <c r="A1024" s="560"/>
      <c r="B1024" s="560"/>
      <c r="C1024" s="560"/>
      <c r="D1024" s="560"/>
      <c r="E1024" s="561"/>
      <c r="F1024" s="561"/>
      <c r="G1024" s="561"/>
      <c r="H1024" s="561"/>
      <c r="I1024" s="561"/>
      <c r="J1024" s="561"/>
      <c r="K1024" s="562"/>
      <c r="L1024" s="563"/>
      <c r="M1024" s="563"/>
      <c r="N1024" s="563"/>
      <c r="O1024" s="564"/>
      <c r="P1024" s="564"/>
    </row>
    <row r="1025" spans="1:16" ht="21.75" customHeight="1" x14ac:dyDescent="0.25">
      <c r="A1025" s="560"/>
      <c r="B1025" s="560"/>
      <c r="C1025" s="560"/>
      <c r="D1025" s="560"/>
      <c r="E1025" s="561"/>
      <c r="F1025" s="561"/>
      <c r="G1025" s="561"/>
      <c r="H1025" s="561"/>
      <c r="I1025" s="561"/>
      <c r="J1025" s="561"/>
      <c r="K1025" s="562"/>
      <c r="L1025" s="563"/>
      <c r="M1025" s="563"/>
      <c r="N1025" s="563"/>
      <c r="O1025" s="564"/>
      <c r="P1025" s="564"/>
    </row>
    <row r="1026" spans="1:16" ht="21.75" customHeight="1" x14ac:dyDescent="0.25">
      <c r="A1026" s="560"/>
      <c r="B1026" s="560"/>
      <c r="C1026" s="560"/>
      <c r="D1026" s="560"/>
      <c r="E1026" s="561"/>
      <c r="F1026" s="561"/>
      <c r="G1026" s="561"/>
      <c r="H1026" s="561"/>
      <c r="I1026" s="561"/>
      <c r="J1026" s="561"/>
      <c r="K1026" s="562"/>
      <c r="L1026" s="563"/>
      <c r="M1026" s="563"/>
      <c r="N1026" s="563"/>
      <c r="O1026" s="564"/>
      <c r="P1026" s="564"/>
    </row>
    <row r="1027" spans="1:16" ht="21.75" customHeight="1" x14ac:dyDescent="0.25">
      <c r="A1027" s="560"/>
      <c r="B1027" s="560"/>
      <c r="C1027" s="560"/>
      <c r="D1027" s="560"/>
      <c r="E1027" s="561"/>
      <c r="F1027" s="561"/>
      <c r="G1027" s="561"/>
      <c r="H1027" s="561"/>
      <c r="I1027" s="561"/>
      <c r="J1027" s="561"/>
      <c r="K1027" s="562"/>
      <c r="L1027" s="563"/>
      <c r="M1027" s="563"/>
      <c r="N1027" s="563"/>
      <c r="O1027" s="564"/>
      <c r="P1027" s="564"/>
    </row>
    <row r="1028" spans="1:16" ht="21.75" customHeight="1" x14ac:dyDescent="0.25">
      <c r="A1028" s="560"/>
      <c r="B1028" s="560"/>
      <c r="C1028" s="560"/>
      <c r="D1028" s="560"/>
      <c r="E1028" s="561"/>
      <c r="F1028" s="561"/>
      <c r="G1028" s="561"/>
      <c r="H1028" s="561"/>
      <c r="I1028" s="561"/>
      <c r="J1028" s="561"/>
      <c r="K1028" s="562"/>
      <c r="L1028" s="563"/>
      <c r="M1028" s="563"/>
      <c r="N1028" s="563"/>
      <c r="O1028" s="564"/>
      <c r="P1028" s="564"/>
    </row>
    <row r="1029" spans="1:16" ht="21.75" customHeight="1" x14ac:dyDescent="0.25">
      <c r="A1029" s="560"/>
      <c r="B1029" s="560"/>
      <c r="C1029" s="560"/>
      <c r="D1029" s="560"/>
      <c r="E1029" s="561"/>
      <c r="F1029" s="561"/>
      <c r="G1029" s="561"/>
      <c r="H1029" s="561"/>
      <c r="I1029" s="561"/>
      <c r="J1029" s="561"/>
      <c r="K1029" s="562"/>
      <c r="L1029" s="563"/>
      <c r="M1029" s="563"/>
      <c r="N1029" s="563"/>
      <c r="O1029" s="564"/>
      <c r="P1029" s="564"/>
    </row>
    <row r="1030" spans="1:16" ht="21.75" customHeight="1" x14ac:dyDescent="0.25">
      <c r="A1030" s="560"/>
      <c r="B1030" s="560"/>
      <c r="C1030" s="560"/>
      <c r="D1030" s="560"/>
      <c r="E1030" s="561"/>
      <c r="F1030" s="561"/>
      <c r="G1030" s="561"/>
      <c r="H1030" s="561"/>
      <c r="I1030" s="561"/>
      <c r="J1030" s="561"/>
      <c r="K1030" s="562"/>
      <c r="L1030" s="563"/>
      <c r="M1030" s="563"/>
      <c r="N1030" s="563"/>
      <c r="O1030" s="564"/>
      <c r="P1030" s="564"/>
    </row>
    <row r="1031" spans="1:16" ht="21.75" customHeight="1" x14ac:dyDescent="0.25">
      <c r="A1031" s="560"/>
      <c r="B1031" s="560"/>
      <c r="C1031" s="560"/>
      <c r="D1031" s="560"/>
      <c r="E1031" s="561"/>
      <c r="F1031" s="561"/>
      <c r="G1031" s="561"/>
      <c r="H1031" s="561"/>
      <c r="I1031" s="561"/>
      <c r="J1031" s="561"/>
      <c r="K1031" s="562"/>
      <c r="L1031" s="563"/>
      <c r="M1031" s="563"/>
      <c r="N1031" s="563"/>
      <c r="O1031" s="564"/>
      <c r="P1031" s="564"/>
    </row>
    <row r="1032" spans="1:16" ht="21.75" customHeight="1" x14ac:dyDescent="0.25">
      <c r="A1032" s="560"/>
      <c r="B1032" s="560"/>
      <c r="C1032" s="560"/>
      <c r="D1032" s="560"/>
      <c r="E1032" s="561"/>
      <c r="F1032" s="561"/>
      <c r="G1032" s="561"/>
      <c r="H1032" s="561"/>
      <c r="I1032" s="561"/>
      <c r="J1032" s="561"/>
      <c r="K1032" s="562"/>
      <c r="L1032" s="563"/>
      <c r="M1032" s="563"/>
      <c r="N1032" s="563"/>
      <c r="O1032" s="564"/>
      <c r="P1032" s="564"/>
    </row>
    <row r="1033" spans="1:16" ht="21.75" customHeight="1" x14ac:dyDescent="0.25">
      <c r="A1033" s="560"/>
      <c r="B1033" s="560"/>
      <c r="C1033" s="560"/>
      <c r="D1033" s="560"/>
      <c r="E1033" s="561"/>
      <c r="F1033" s="561"/>
      <c r="G1033" s="561"/>
      <c r="H1033" s="561"/>
      <c r="I1033" s="561"/>
      <c r="J1033" s="561"/>
      <c r="K1033" s="562"/>
      <c r="L1033" s="563"/>
      <c r="M1033" s="563"/>
      <c r="N1033" s="563"/>
      <c r="O1033" s="564"/>
      <c r="P1033" s="564"/>
    </row>
    <row r="1034" spans="1:16" ht="21.75" customHeight="1" x14ac:dyDescent="0.25">
      <c r="A1034" s="560"/>
      <c r="B1034" s="560"/>
      <c r="C1034" s="560"/>
      <c r="D1034" s="560"/>
      <c r="E1034" s="561"/>
      <c r="F1034" s="561"/>
      <c r="G1034" s="561"/>
      <c r="H1034" s="561"/>
      <c r="I1034" s="561"/>
      <c r="J1034" s="561"/>
      <c r="K1034" s="562"/>
      <c r="L1034" s="563"/>
      <c r="M1034" s="563"/>
      <c r="N1034" s="563"/>
      <c r="O1034" s="564"/>
      <c r="P1034" s="564"/>
    </row>
    <row r="1035" spans="1:16" ht="21.75" customHeight="1" x14ac:dyDescent="0.25">
      <c r="A1035" s="560"/>
      <c r="B1035" s="560"/>
      <c r="C1035" s="560"/>
      <c r="D1035" s="560"/>
      <c r="E1035" s="561"/>
      <c r="F1035" s="561"/>
      <c r="G1035" s="561"/>
      <c r="H1035" s="561"/>
      <c r="I1035" s="561"/>
      <c r="J1035" s="561"/>
      <c r="K1035" s="562"/>
      <c r="L1035" s="563"/>
      <c r="M1035" s="563"/>
      <c r="N1035" s="563"/>
      <c r="O1035" s="564"/>
      <c r="P1035" s="564"/>
    </row>
    <row r="1036" spans="1:16" ht="21.75" customHeight="1" x14ac:dyDescent="0.25">
      <c r="A1036" s="560"/>
      <c r="B1036" s="560"/>
      <c r="C1036" s="560"/>
      <c r="D1036" s="560"/>
      <c r="E1036" s="561"/>
      <c r="F1036" s="561"/>
      <c r="G1036" s="561"/>
      <c r="H1036" s="561"/>
      <c r="I1036" s="561"/>
      <c r="J1036" s="561"/>
      <c r="K1036" s="562"/>
      <c r="L1036" s="563"/>
      <c r="M1036" s="563"/>
      <c r="N1036" s="563"/>
      <c r="O1036" s="564"/>
      <c r="P1036" s="564"/>
    </row>
    <row r="1037" spans="1:16" ht="21.75" customHeight="1" x14ac:dyDescent="0.25">
      <c r="A1037" s="560"/>
      <c r="B1037" s="560"/>
      <c r="C1037" s="560"/>
      <c r="D1037" s="560"/>
      <c r="E1037" s="561"/>
      <c r="F1037" s="561"/>
      <c r="G1037" s="561"/>
      <c r="H1037" s="561"/>
      <c r="I1037" s="561"/>
      <c r="J1037" s="561"/>
      <c r="K1037" s="562"/>
      <c r="L1037" s="563"/>
      <c r="M1037" s="563"/>
      <c r="N1037" s="563"/>
      <c r="O1037" s="564"/>
      <c r="P1037" s="564"/>
    </row>
    <row r="1038" spans="1:16" ht="21.75" customHeight="1" x14ac:dyDescent="0.25">
      <c r="A1038" s="560"/>
      <c r="B1038" s="560"/>
      <c r="C1038" s="560"/>
      <c r="D1038" s="560"/>
      <c r="E1038" s="561"/>
      <c r="F1038" s="561"/>
      <c r="G1038" s="561"/>
      <c r="H1038" s="561"/>
      <c r="I1038" s="561"/>
      <c r="J1038" s="561"/>
      <c r="K1038" s="562"/>
      <c r="L1038" s="563"/>
      <c r="M1038" s="563"/>
      <c r="N1038" s="563"/>
      <c r="O1038" s="564"/>
      <c r="P1038" s="564"/>
    </row>
    <row r="1039" spans="1:16" ht="21.75" customHeight="1" x14ac:dyDescent="0.25">
      <c r="A1039" s="560"/>
      <c r="B1039" s="560"/>
      <c r="C1039" s="560"/>
      <c r="D1039" s="560"/>
      <c r="E1039" s="561"/>
      <c r="F1039" s="561"/>
      <c r="G1039" s="561"/>
      <c r="H1039" s="561"/>
      <c r="I1039" s="561"/>
      <c r="J1039" s="561"/>
      <c r="K1039" s="562"/>
      <c r="L1039" s="563"/>
      <c r="M1039" s="563"/>
      <c r="N1039" s="563"/>
      <c r="O1039" s="564"/>
      <c r="P1039" s="564"/>
    </row>
    <row r="1040" spans="1:16" ht="21.75" customHeight="1" x14ac:dyDescent="0.25">
      <c r="A1040" s="560"/>
      <c r="B1040" s="560"/>
      <c r="C1040" s="560"/>
      <c r="D1040" s="560"/>
      <c r="E1040" s="561"/>
      <c r="F1040" s="561"/>
      <c r="G1040" s="561"/>
      <c r="H1040" s="561"/>
      <c r="I1040" s="561"/>
      <c r="J1040" s="561"/>
      <c r="K1040" s="562"/>
      <c r="L1040" s="563"/>
      <c r="M1040" s="563"/>
      <c r="N1040" s="563"/>
      <c r="O1040" s="564"/>
      <c r="P1040" s="564"/>
    </row>
    <row r="1041" spans="1:16" ht="21.75" customHeight="1" x14ac:dyDescent="0.25">
      <c r="A1041" s="560"/>
      <c r="B1041" s="560"/>
      <c r="C1041" s="560"/>
      <c r="D1041" s="560"/>
      <c r="E1041" s="561"/>
      <c r="F1041" s="561"/>
      <c r="G1041" s="561"/>
      <c r="H1041" s="561"/>
      <c r="I1041" s="561"/>
      <c r="J1041" s="561"/>
      <c r="K1041" s="562"/>
      <c r="L1041" s="563"/>
      <c r="M1041" s="563"/>
      <c r="N1041" s="563"/>
      <c r="O1041" s="564"/>
      <c r="P1041" s="564"/>
    </row>
    <row r="1042" spans="1:16" ht="21.75" customHeight="1" x14ac:dyDescent="0.25">
      <c r="A1042" s="560"/>
      <c r="B1042" s="560"/>
      <c r="C1042" s="560"/>
      <c r="D1042" s="560"/>
      <c r="E1042" s="561"/>
      <c r="F1042" s="561"/>
      <c r="G1042" s="561"/>
      <c r="H1042" s="561"/>
      <c r="I1042" s="561"/>
      <c r="J1042" s="561"/>
      <c r="K1042" s="562"/>
      <c r="L1042" s="563"/>
      <c r="M1042" s="563"/>
      <c r="N1042" s="563"/>
      <c r="O1042" s="564"/>
      <c r="P1042" s="564"/>
    </row>
    <row r="1043" spans="1:16" ht="21.75" customHeight="1" x14ac:dyDescent="0.25">
      <c r="A1043" s="560"/>
      <c r="B1043" s="560"/>
      <c r="C1043" s="560"/>
      <c r="D1043" s="560"/>
      <c r="E1043" s="561"/>
      <c r="F1043" s="561"/>
      <c r="G1043" s="561"/>
      <c r="H1043" s="561"/>
      <c r="I1043" s="561"/>
      <c r="J1043" s="561"/>
      <c r="K1043" s="562"/>
      <c r="L1043" s="563"/>
      <c r="M1043" s="563"/>
      <c r="N1043" s="563"/>
      <c r="O1043" s="564"/>
      <c r="P1043" s="564"/>
    </row>
    <row r="1044" spans="1:16" ht="21.75" customHeight="1" x14ac:dyDescent="0.25">
      <c r="A1044" s="560"/>
      <c r="B1044" s="560"/>
      <c r="C1044" s="560"/>
      <c r="D1044" s="560"/>
      <c r="E1044" s="561"/>
      <c r="F1044" s="561"/>
      <c r="G1044" s="561"/>
      <c r="H1044" s="561"/>
      <c r="I1044" s="561"/>
      <c r="J1044" s="561"/>
      <c r="K1044" s="562"/>
      <c r="L1044" s="563"/>
      <c r="M1044" s="563"/>
      <c r="N1044" s="563"/>
      <c r="O1044" s="564"/>
      <c r="P1044" s="564"/>
    </row>
    <row r="1045" spans="1:16" ht="21.75" customHeight="1" x14ac:dyDescent="0.25">
      <c r="A1045" s="560"/>
      <c r="B1045" s="560"/>
      <c r="C1045" s="560"/>
      <c r="D1045" s="560"/>
      <c r="E1045" s="561"/>
      <c r="F1045" s="561"/>
      <c r="G1045" s="561"/>
      <c r="H1045" s="561"/>
      <c r="I1045" s="561"/>
      <c r="J1045" s="561"/>
      <c r="K1045" s="562"/>
      <c r="L1045" s="563"/>
      <c r="M1045" s="563"/>
      <c r="N1045" s="563"/>
      <c r="O1045" s="564"/>
      <c r="P1045" s="564"/>
    </row>
    <row r="1046" spans="1:16" ht="21.75" customHeight="1" x14ac:dyDescent="0.25">
      <c r="A1046" s="560"/>
      <c r="B1046" s="560"/>
      <c r="C1046" s="560"/>
      <c r="D1046" s="560"/>
      <c r="E1046" s="561"/>
      <c r="F1046" s="561"/>
      <c r="G1046" s="561"/>
      <c r="H1046" s="561"/>
      <c r="I1046" s="561"/>
      <c r="J1046" s="561"/>
      <c r="K1046" s="562"/>
      <c r="L1046" s="563"/>
      <c r="M1046" s="563"/>
      <c r="N1046" s="563"/>
      <c r="O1046" s="564"/>
      <c r="P1046" s="564"/>
    </row>
    <row r="1047" spans="1:16" ht="21.75" customHeight="1" x14ac:dyDescent="0.25">
      <c r="A1047" s="560"/>
      <c r="B1047" s="560"/>
      <c r="C1047" s="560"/>
      <c r="D1047" s="560"/>
      <c r="E1047" s="561"/>
      <c r="F1047" s="561"/>
      <c r="G1047" s="561"/>
      <c r="H1047" s="561"/>
      <c r="I1047" s="561"/>
      <c r="J1047" s="561"/>
      <c r="K1047" s="562"/>
      <c r="L1047" s="563"/>
      <c r="M1047" s="563"/>
      <c r="N1047" s="563"/>
      <c r="O1047" s="564"/>
      <c r="P1047" s="564"/>
    </row>
    <row r="1048" spans="1:16" ht="21.75" customHeight="1" x14ac:dyDescent="0.25">
      <c r="A1048" s="560"/>
      <c r="B1048" s="560"/>
      <c r="C1048" s="560"/>
      <c r="D1048" s="560"/>
      <c r="E1048" s="561"/>
      <c r="F1048" s="561"/>
      <c r="G1048" s="561"/>
      <c r="H1048" s="561"/>
      <c r="I1048" s="561"/>
      <c r="J1048" s="561"/>
      <c r="K1048" s="562"/>
      <c r="L1048" s="563"/>
      <c r="M1048" s="563"/>
      <c r="N1048" s="563"/>
      <c r="O1048" s="564"/>
      <c r="P1048" s="564"/>
    </row>
    <row r="1049" spans="1:16" ht="21.75" customHeight="1" x14ac:dyDescent="0.25">
      <c r="A1049" s="560"/>
      <c r="B1049" s="560"/>
      <c r="C1049" s="560"/>
      <c r="D1049" s="560"/>
      <c r="E1049" s="561"/>
      <c r="F1049" s="561"/>
      <c r="G1049" s="561"/>
      <c r="H1049" s="561"/>
      <c r="I1049" s="561"/>
      <c r="J1049" s="561"/>
      <c r="K1049" s="562"/>
      <c r="L1049" s="563"/>
      <c r="M1049" s="563"/>
      <c r="N1049" s="563"/>
      <c r="O1049" s="564"/>
      <c r="P1049" s="564"/>
    </row>
    <row r="1050" spans="1:16" ht="21.75" customHeight="1" x14ac:dyDescent="0.25">
      <c r="A1050" s="560"/>
      <c r="B1050" s="560"/>
      <c r="C1050" s="560"/>
      <c r="D1050" s="560"/>
      <c r="E1050" s="561"/>
      <c r="F1050" s="561"/>
      <c r="G1050" s="561"/>
      <c r="H1050" s="561"/>
      <c r="I1050" s="561"/>
      <c r="J1050" s="561"/>
      <c r="K1050" s="562"/>
      <c r="L1050" s="563"/>
      <c r="M1050" s="563"/>
      <c r="N1050" s="563"/>
      <c r="O1050" s="564"/>
      <c r="P1050" s="564"/>
    </row>
    <row r="1051" spans="1:16" ht="21.75" customHeight="1" x14ac:dyDescent="0.25">
      <c r="A1051" s="560"/>
      <c r="B1051" s="560"/>
      <c r="C1051" s="560"/>
      <c r="D1051" s="560"/>
      <c r="E1051" s="561"/>
      <c r="F1051" s="561"/>
      <c r="G1051" s="561"/>
      <c r="H1051" s="561"/>
      <c r="I1051" s="561"/>
      <c r="J1051" s="561"/>
      <c r="K1051" s="562"/>
      <c r="L1051" s="563"/>
      <c r="M1051" s="563"/>
      <c r="N1051" s="563"/>
      <c r="O1051" s="564"/>
      <c r="P1051" s="564"/>
    </row>
    <row r="1052" spans="1:16" ht="21.75" customHeight="1" x14ac:dyDescent="0.25">
      <c r="A1052" s="560"/>
      <c r="B1052" s="560"/>
      <c r="C1052" s="560"/>
      <c r="D1052" s="560"/>
      <c r="E1052" s="561"/>
      <c r="F1052" s="561"/>
      <c r="G1052" s="561"/>
      <c r="H1052" s="561"/>
      <c r="I1052" s="561"/>
      <c r="J1052" s="561"/>
      <c r="K1052" s="562"/>
      <c r="L1052" s="563"/>
      <c r="M1052" s="563"/>
      <c r="N1052" s="563"/>
      <c r="O1052" s="564"/>
      <c r="P1052" s="564"/>
    </row>
    <row r="1053" spans="1:16" ht="21.75" customHeight="1" x14ac:dyDescent="0.25">
      <c r="A1053" s="560"/>
      <c r="B1053" s="560"/>
      <c r="C1053" s="560"/>
      <c r="D1053" s="560"/>
      <c r="E1053" s="561"/>
      <c r="F1053" s="561"/>
      <c r="G1053" s="561"/>
      <c r="H1053" s="561"/>
      <c r="I1053" s="561"/>
      <c r="J1053" s="561"/>
      <c r="K1053" s="562"/>
      <c r="L1053" s="563"/>
      <c r="M1053" s="563"/>
      <c r="N1053" s="563"/>
      <c r="O1053" s="564"/>
      <c r="P1053" s="564"/>
    </row>
    <row r="1054" spans="1:16" ht="21.75" customHeight="1" x14ac:dyDescent="0.25">
      <c r="A1054" s="560"/>
      <c r="B1054" s="560"/>
      <c r="C1054" s="560"/>
      <c r="D1054" s="560"/>
      <c r="E1054" s="561"/>
      <c r="F1054" s="561"/>
      <c r="G1054" s="561"/>
      <c r="H1054" s="561"/>
      <c r="I1054" s="561"/>
      <c r="J1054" s="561"/>
      <c r="K1054" s="562"/>
      <c r="L1054" s="563"/>
      <c r="M1054" s="563"/>
      <c r="N1054" s="563"/>
      <c r="O1054" s="564"/>
      <c r="P1054" s="564"/>
    </row>
    <row r="1055" spans="1:16" ht="21.75" customHeight="1" x14ac:dyDescent="0.25">
      <c r="A1055" s="560"/>
      <c r="B1055" s="560"/>
      <c r="C1055" s="560"/>
      <c r="D1055" s="560"/>
      <c r="E1055" s="561"/>
      <c r="F1055" s="561"/>
      <c r="G1055" s="561"/>
      <c r="H1055" s="561"/>
      <c r="I1055" s="561"/>
      <c r="J1055" s="561"/>
      <c r="K1055" s="562"/>
      <c r="L1055" s="563"/>
      <c r="M1055" s="563"/>
      <c r="N1055" s="563"/>
      <c r="O1055" s="564"/>
      <c r="P1055" s="564"/>
    </row>
    <row r="1056" spans="1:16" ht="21.75" customHeight="1" x14ac:dyDescent="0.25">
      <c r="A1056" s="560"/>
      <c r="B1056" s="560"/>
      <c r="C1056" s="560"/>
      <c r="D1056" s="560"/>
      <c r="E1056" s="561"/>
      <c r="F1056" s="561"/>
      <c r="G1056" s="561"/>
      <c r="H1056" s="561"/>
      <c r="I1056" s="561"/>
      <c r="J1056" s="561"/>
      <c r="K1056" s="562"/>
      <c r="L1056" s="563"/>
      <c r="M1056" s="563"/>
      <c r="N1056" s="563"/>
      <c r="O1056" s="564"/>
      <c r="P1056" s="564"/>
    </row>
    <row r="1057" spans="1:16" ht="21.75" customHeight="1" x14ac:dyDescent="0.25">
      <c r="A1057" s="560"/>
      <c r="B1057" s="560"/>
      <c r="C1057" s="560"/>
      <c r="D1057" s="560"/>
      <c r="E1057" s="561"/>
      <c r="F1057" s="561"/>
      <c r="G1057" s="561"/>
      <c r="H1057" s="561"/>
      <c r="I1057" s="561"/>
      <c r="J1057" s="561"/>
      <c r="K1057" s="562"/>
      <c r="L1057" s="563"/>
      <c r="M1057" s="563"/>
      <c r="N1057" s="563"/>
      <c r="O1057" s="564"/>
      <c r="P1057" s="564"/>
    </row>
    <row r="1058" spans="1:16" ht="21.75" customHeight="1" x14ac:dyDescent="0.25">
      <c r="A1058" s="560"/>
      <c r="B1058" s="560"/>
      <c r="C1058" s="560"/>
      <c r="D1058" s="560"/>
      <c r="E1058" s="561"/>
      <c r="F1058" s="561"/>
      <c r="G1058" s="561"/>
      <c r="H1058" s="561"/>
      <c r="I1058" s="561"/>
      <c r="J1058" s="561"/>
      <c r="K1058" s="562"/>
      <c r="L1058" s="563"/>
      <c r="M1058" s="563"/>
      <c r="N1058" s="563"/>
      <c r="O1058" s="564"/>
      <c r="P1058" s="564"/>
    </row>
    <row r="1059" spans="1:16" ht="21.75" customHeight="1" x14ac:dyDescent="0.25">
      <c r="A1059" s="560"/>
      <c r="B1059" s="560"/>
      <c r="C1059" s="560"/>
      <c r="D1059" s="560"/>
      <c r="E1059" s="561"/>
      <c r="F1059" s="561"/>
      <c r="G1059" s="561"/>
      <c r="H1059" s="561"/>
      <c r="I1059" s="561"/>
      <c r="J1059" s="561"/>
      <c r="K1059" s="562"/>
      <c r="L1059" s="563"/>
      <c r="M1059" s="563"/>
      <c r="N1059" s="563"/>
      <c r="O1059" s="564"/>
      <c r="P1059" s="564"/>
    </row>
    <row r="1060" spans="1:16" ht="21.75" customHeight="1" x14ac:dyDescent="0.25">
      <c r="A1060" s="560"/>
      <c r="B1060" s="560"/>
      <c r="C1060" s="560"/>
      <c r="D1060" s="560"/>
      <c r="E1060" s="561"/>
      <c r="F1060" s="561"/>
      <c r="G1060" s="561"/>
      <c r="H1060" s="561"/>
      <c r="I1060" s="561"/>
      <c r="J1060" s="561"/>
      <c r="K1060" s="562"/>
      <c r="L1060" s="563"/>
      <c r="M1060" s="563"/>
      <c r="N1060" s="563"/>
      <c r="O1060" s="564"/>
      <c r="P1060" s="564"/>
    </row>
    <row r="1061" spans="1:16" ht="21.75" customHeight="1" x14ac:dyDescent="0.25">
      <c r="A1061" s="560"/>
      <c r="B1061" s="560"/>
      <c r="C1061" s="560"/>
      <c r="D1061" s="560"/>
      <c r="E1061" s="561"/>
      <c r="F1061" s="561"/>
      <c r="G1061" s="561"/>
      <c r="H1061" s="561"/>
      <c r="I1061" s="561"/>
      <c r="J1061" s="561"/>
      <c r="K1061" s="562"/>
      <c r="L1061" s="563"/>
      <c r="M1061" s="563"/>
      <c r="N1061" s="563"/>
      <c r="O1061" s="564"/>
      <c r="P1061" s="564"/>
    </row>
    <row r="1062" spans="1:16" ht="21.75" customHeight="1" x14ac:dyDescent="0.25">
      <c r="A1062" s="560"/>
      <c r="B1062" s="560"/>
      <c r="C1062" s="560"/>
      <c r="D1062" s="560"/>
      <c r="E1062" s="561"/>
      <c r="F1062" s="561"/>
      <c r="G1062" s="561"/>
      <c r="H1062" s="561"/>
      <c r="I1062" s="561"/>
      <c r="J1062" s="561"/>
      <c r="K1062" s="562"/>
      <c r="L1062" s="563"/>
      <c r="M1062" s="563"/>
      <c r="N1062" s="563"/>
      <c r="O1062" s="564"/>
      <c r="P1062" s="564"/>
    </row>
    <row r="1063" spans="1:16" ht="21.75" customHeight="1" x14ac:dyDescent="0.25">
      <c r="A1063" s="560"/>
      <c r="B1063" s="560"/>
      <c r="C1063" s="560"/>
      <c r="D1063" s="560"/>
      <c r="E1063" s="561"/>
      <c r="F1063" s="561"/>
      <c r="G1063" s="561"/>
      <c r="H1063" s="561"/>
      <c r="I1063" s="561"/>
      <c r="J1063" s="561"/>
      <c r="K1063" s="562"/>
      <c r="L1063" s="563"/>
      <c r="M1063" s="563"/>
      <c r="N1063" s="563"/>
      <c r="O1063" s="564"/>
      <c r="P1063" s="564"/>
    </row>
    <row r="1064" spans="1:16" ht="21.75" customHeight="1" x14ac:dyDescent="0.25">
      <c r="A1064" s="560"/>
      <c r="B1064" s="560"/>
      <c r="C1064" s="560"/>
      <c r="D1064" s="560"/>
      <c r="E1064" s="561"/>
      <c r="F1064" s="561"/>
      <c r="G1064" s="561"/>
      <c r="H1064" s="561"/>
      <c r="I1064" s="561"/>
      <c r="J1064" s="561"/>
      <c r="K1064" s="562"/>
      <c r="L1064" s="563"/>
      <c r="M1064" s="563"/>
      <c r="N1064" s="563"/>
      <c r="O1064" s="564"/>
      <c r="P1064" s="564"/>
    </row>
    <row r="1065" spans="1:16" ht="21.75" customHeight="1" x14ac:dyDescent="0.25">
      <c r="A1065" s="560"/>
      <c r="B1065" s="560"/>
      <c r="C1065" s="560"/>
      <c r="D1065" s="560"/>
      <c r="E1065" s="561"/>
      <c r="F1065" s="561"/>
      <c r="G1065" s="561"/>
      <c r="H1065" s="561"/>
      <c r="I1065" s="561"/>
      <c r="J1065" s="561"/>
      <c r="K1065" s="562"/>
      <c r="L1065" s="563"/>
      <c r="M1065" s="563"/>
      <c r="N1065" s="563"/>
      <c r="O1065" s="564"/>
      <c r="P1065" s="564"/>
    </row>
    <row r="1066" spans="1:16" ht="21.75" customHeight="1" x14ac:dyDescent="0.25">
      <c r="A1066" s="560"/>
      <c r="B1066" s="560"/>
      <c r="C1066" s="560"/>
      <c r="D1066" s="560"/>
      <c r="E1066" s="561"/>
      <c r="F1066" s="561"/>
      <c r="G1066" s="561"/>
      <c r="H1066" s="561"/>
      <c r="I1066" s="561"/>
      <c r="J1066" s="561"/>
      <c r="K1066" s="562"/>
      <c r="L1066" s="563"/>
      <c r="M1066" s="563"/>
      <c r="N1066" s="563"/>
      <c r="O1066" s="564"/>
      <c r="P1066" s="564"/>
    </row>
    <row r="1067" spans="1:16" ht="21.75" customHeight="1" x14ac:dyDescent="0.25">
      <c r="A1067" s="560"/>
      <c r="B1067" s="560"/>
      <c r="C1067" s="560"/>
      <c r="D1067" s="560"/>
      <c r="E1067" s="561"/>
      <c r="F1067" s="561"/>
      <c r="G1067" s="561"/>
      <c r="H1067" s="561"/>
      <c r="I1067" s="561"/>
      <c r="J1067" s="561"/>
      <c r="K1067" s="562"/>
      <c r="L1067" s="563"/>
      <c r="M1067" s="563"/>
      <c r="N1067" s="563"/>
      <c r="O1067" s="564"/>
      <c r="P1067" s="564"/>
    </row>
    <row r="1068" spans="1:16" ht="21.75" customHeight="1" x14ac:dyDescent="0.25">
      <c r="A1068" s="560"/>
      <c r="B1068" s="560"/>
      <c r="C1068" s="560"/>
      <c r="D1068" s="560"/>
      <c r="E1068" s="561"/>
      <c r="F1068" s="561"/>
      <c r="G1068" s="561"/>
      <c r="H1068" s="561"/>
      <c r="I1068" s="561"/>
      <c r="J1068" s="561"/>
      <c r="K1068" s="562"/>
      <c r="L1068" s="563"/>
      <c r="M1068" s="563"/>
      <c r="N1068" s="563"/>
      <c r="O1068" s="564"/>
      <c r="P1068" s="564"/>
    </row>
    <row r="1069" spans="1:16" ht="21.75" customHeight="1" x14ac:dyDescent="0.25">
      <c r="A1069" s="560"/>
      <c r="B1069" s="560"/>
      <c r="C1069" s="560"/>
      <c r="D1069" s="560"/>
      <c r="E1069" s="561"/>
      <c r="F1069" s="561"/>
      <c r="G1069" s="561"/>
      <c r="H1069" s="561"/>
      <c r="I1069" s="561"/>
      <c r="J1069" s="561"/>
      <c r="K1069" s="562"/>
      <c r="L1069" s="563"/>
      <c r="M1069" s="563"/>
      <c r="N1069" s="563"/>
      <c r="O1069" s="564"/>
      <c r="P1069" s="564"/>
    </row>
    <row r="1070" spans="1:16" ht="21.75" customHeight="1" x14ac:dyDescent="0.25">
      <c r="A1070" s="560"/>
      <c r="B1070" s="560"/>
      <c r="C1070" s="560"/>
      <c r="D1070" s="560"/>
      <c r="E1070" s="561"/>
      <c r="F1070" s="561"/>
      <c r="G1070" s="561"/>
      <c r="H1070" s="561"/>
      <c r="I1070" s="561"/>
      <c r="J1070" s="561"/>
      <c r="K1070" s="562"/>
      <c r="L1070" s="563"/>
      <c r="M1070" s="563"/>
      <c r="N1070" s="563"/>
      <c r="O1070" s="564"/>
      <c r="P1070" s="564"/>
    </row>
    <row r="1071" spans="1:16" ht="21.75" customHeight="1" x14ac:dyDescent="0.25">
      <c r="A1071" s="560"/>
      <c r="B1071" s="560"/>
      <c r="C1071" s="560"/>
      <c r="D1071" s="560"/>
      <c r="E1071" s="561"/>
      <c r="F1071" s="561"/>
      <c r="G1071" s="561"/>
      <c r="H1071" s="561"/>
      <c r="I1071" s="561"/>
      <c r="J1071" s="561"/>
      <c r="K1071" s="562"/>
      <c r="L1071" s="563"/>
      <c r="M1071" s="563"/>
      <c r="N1071" s="563"/>
      <c r="O1071" s="564"/>
      <c r="P1071" s="564"/>
    </row>
    <row r="1072" spans="1:16" ht="21.75" customHeight="1" x14ac:dyDescent="0.25">
      <c r="A1072" s="560"/>
      <c r="B1072" s="560"/>
      <c r="C1072" s="560"/>
      <c r="D1072" s="560"/>
      <c r="E1072" s="561"/>
      <c r="F1072" s="561"/>
      <c r="G1072" s="561"/>
      <c r="H1072" s="561"/>
      <c r="I1072" s="561"/>
      <c r="J1072" s="561"/>
      <c r="K1072" s="562"/>
      <c r="L1072" s="563"/>
      <c r="M1072" s="563"/>
      <c r="N1072" s="563"/>
      <c r="O1072" s="564"/>
      <c r="P1072" s="564"/>
    </row>
    <row r="1073" spans="1:16" ht="21.75" customHeight="1" x14ac:dyDescent="0.25">
      <c r="A1073" s="560"/>
      <c r="B1073" s="560"/>
      <c r="C1073" s="560"/>
      <c r="D1073" s="560"/>
      <c r="E1073" s="561"/>
      <c r="F1073" s="561"/>
      <c r="G1073" s="561"/>
      <c r="H1073" s="561"/>
      <c r="I1073" s="561"/>
      <c r="J1073" s="561"/>
      <c r="K1073" s="562"/>
      <c r="L1073" s="563"/>
      <c r="M1073" s="563"/>
      <c r="N1073" s="563"/>
      <c r="O1073" s="564"/>
      <c r="P1073" s="564"/>
    </row>
    <row r="1074" spans="1:16" ht="21.75" customHeight="1" x14ac:dyDescent="0.25">
      <c r="A1074" s="560"/>
      <c r="B1074" s="560"/>
      <c r="C1074" s="560"/>
      <c r="D1074" s="560"/>
      <c r="E1074" s="561"/>
      <c r="F1074" s="561"/>
      <c r="G1074" s="561"/>
      <c r="H1074" s="561"/>
      <c r="I1074" s="561"/>
      <c r="J1074" s="561"/>
      <c r="K1074" s="562"/>
      <c r="L1074" s="563"/>
      <c r="M1074" s="563"/>
      <c r="N1074" s="563"/>
      <c r="O1074" s="564"/>
      <c r="P1074" s="564"/>
    </row>
    <row r="1075" spans="1:16" ht="21.75" customHeight="1" x14ac:dyDescent="0.25">
      <c r="A1075" s="560"/>
      <c r="B1075" s="560"/>
      <c r="C1075" s="560"/>
      <c r="D1075" s="560"/>
      <c r="E1075" s="561"/>
      <c r="F1075" s="561"/>
      <c r="G1075" s="561"/>
      <c r="H1075" s="561"/>
      <c r="I1075" s="561"/>
      <c r="J1075" s="561"/>
      <c r="K1075" s="562"/>
      <c r="L1075" s="563"/>
      <c r="M1075" s="563"/>
      <c r="N1075" s="563"/>
      <c r="O1075" s="564"/>
      <c r="P1075" s="564"/>
    </row>
    <row r="1076" spans="1:16" ht="21.75" customHeight="1" x14ac:dyDescent="0.25">
      <c r="A1076" s="560"/>
      <c r="B1076" s="560"/>
      <c r="C1076" s="560"/>
      <c r="D1076" s="560"/>
      <c r="E1076" s="561"/>
      <c r="F1076" s="561"/>
      <c r="G1076" s="561"/>
      <c r="H1076" s="561"/>
      <c r="I1076" s="561"/>
      <c r="J1076" s="561"/>
      <c r="K1076" s="562"/>
      <c r="L1076" s="563"/>
      <c r="M1076" s="563"/>
      <c r="N1076" s="563"/>
      <c r="O1076" s="564"/>
      <c r="P1076" s="564"/>
    </row>
    <row r="1077" spans="1:16" ht="21.75" customHeight="1" x14ac:dyDescent="0.25">
      <c r="A1077" s="560"/>
      <c r="B1077" s="560"/>
      <c r="C1077" s="560"/>
      <c r="D1077" s="560"/>
      <c r="E1077" s="561"/>
      <c r="F1077" s="561"/>
      <c r="G1077" s="561"/>
      <c r="H1077" s="561"/>
      <c r="I1077" s="561"/>
      <c r="J1077" s="561"/>
      <c r="K1077" s="562"/>
      <c r="L1077" s="563"/>
      <c r="M1077" s="563"/>
      <c r="N1077" s="563"/>
      <c r="O1077" s="564"/>
      <c r="P1077" s="564"/>
    </row>
    <row r="1078" spans="1:16" ht="21.75" customHeight="1" x14ac:dyDescent="0.25">
      <c r="A1078" s="560"/>
      <c r="B1078" s="560"/>
      <c r="C1078" s="560"/>
      <c r="D1078" s="560"/>
      <c r="E1078" s="561"/>
      <c r="F1078" s="561"/>
      <c r="G1078" s="561"/>
      <c r="H1078" s="561"/>
      <c r="I1078" s="561"/>
      <c r="J1078" s="561"/>
      <c r="K1078" s="562"/>
      <c r="L1078" s="563"/>
      <c r="M1078" s="563"/>
      <c r="N1078" s="563"/>
      <c r="O1078" s="564"/>
      <c r="P1078" s="564"/>
    </row>
    <row r="1079" spans="1:16" ht="21.75" customHeight="1" x14ac:dyDescent="0.25">
      <c r="A1079" s="560"/>
      <c r="B1079" s="560"/>
      <c r="C1079" s="560"/>
      <c r="D1079" s="560"/>
      <c r="E1079" s="561"/>
      <c r="F1079" s="561"/>
      <c r="G1079" s="561"/>
      <c r="H1079" s="561"/>
      <c r="I1079" s="561"/>
      <c r="J1079" s="561"/>
      <c r="K1079" s="562"/>
      <c r="L1079" s="563"/>
      <c r="M1079" s="563"/>
      <c r="N1079" s="563"/>
      <c r="O1079" s="564"/>
      <c r="P1079" s="564"/>
    </row>
    <row r="1080" spans="1:16" ht="21.75" customHeight="1" x14ac:dyDescent="0.25">
      <c r="A1080" s="560"/>
      <c r="B1080" s="560"/>
      <c r="C1080" s="560"/>
      <c r="D1080" s="560"/>
      <c r="E1080" s="561"/>
      <c r="F1080" s="561"/>
      <c r="G1080" s="561"/>
      <c r="H1080" s="561"/>
      <c r="I1080" s="561"/>
      <c r="J1080" s="561"/>
      <c r="K1080" s="562"/>
      <c r="L1080" s="563"/>
      <c r="M1080" s="563"/>
      <c r="N1080" s="563"/>
      <c r="O1080" s="564"/>
      <c r="P1080" s="564"/>
    </row>
    <row r="1081" spans="1:16" ht="21.75" customHeight="1" x14ac:dyDescent="0.25">
      <c r="A1081" s="560"/>
      <c r="B1081" s="560"/>
      <c r="C1081" s="560"/>
      <c r="D1081" s="560"/>
      <c r="E1081" s="561"/>
      <c r="F1081" s="561"/>
      <c r="G1081" s="561"/>
      <c r="H1081" s="561"/>
      <c r="I1081" s="561"/>
      <c r="J1081" s="561"/>
      <c r="K1081" s="562"/>
      <c r="L1081" s="563"/>
      <c r="M1081" s="563"/>
      <c r="N1081" s="563"/>
      <c r="O1081" s="564"/>
      <c r="P1081" s="564"/>
    </row>
    <row r="1082" spans="1:16" ht="21.75" customHeight="1" x14ac:dyDescent="0.25">
      <c r="A1082" s="560"/>
      <c r="B1082" s="560"/>
      <c r="C1082" s="560"/>
      <c r="D1082" s="560"/>
      <c r="E1082" s="561"/>
      <c r="F1082" s="561"/>
      <c r="G1082" s="561"/>
      <c r="H1082" s="561"/>
      <c r="I1082" s="561"/>
      <c r="J1082" s="561"/>
      <c r="K1082" s="562"/>
      <c r="L1082" s="563"/>
      <c r="M1082" s="563"/>
      <c r="N1082" s="563"/>
      <c r="O1082" s="564"/>
      <c r="P1082" s="564"/>
    </row>
    <row r="1083" spans="1:16" ht="21.75" customHeight="1" x14ac:dyDescent="0.25">
      <c r="A1083" s="560"/>
      <c r="B1083" s="560"/>
      <c r="C1083" s="560"/>
      <c r="D1083" s="560"/>
      <c r="E1083" s="561"/>
      <c r="F1083" s="561"/>
      <c r="G1083" s="561"/>
      <c r="H1083" s="561"/>
      <c r="I1083" s="561"/>
      <c r="J1083" s="561"/>
      <c r="K1083" s="562"/>
      <c r="L1083" s="563"/>
      <c r="M1083" s="563"/>
      <c r="N1083" s="563"/>
      <c r="O1083" s="564"/>
      <c r="P1083" s="564"/>
    </row>
    <row r="1084" spans="1:16" ht="21.75" customHeight="1" x14ac:dyDescent="0.25">
      <c r="A1084" s="560"/>
      <c r="B1084" s="560"/>
      <c r="C1084" s="560"/>
      <c r="D1084" s="560"/>
      <c r="E1084" s="561"/>
      <c r="F1084" s="561"/>
      <c r="G1084" s="561"/>
      <c r="H1084" s="561"/>
      <c r="I1084" s="561"/>
      <c r="J1084" s="561"/>
      <c r="K1084" s="562"/>
      <c r="L1084" s="563"/>
      <c r="M1084" s="563"/>
      <c r="N1084" s="563"/>
      <c r="O1084" s="564"/>
      <c r="P1084" s="564"/>
    </row>
    <row r="1085" spans="1:16" ht="21.75" customHeight="1" x14ac:dyDescent="0.25">
      <c r="A1085" s="560"/>
      <c r="B1085" s="560"/>
      <c r="C1085" s="560"/>
      <c r="D1085" s="560"/>
      <c r="E1085" s="561"/>
      <c r="F1085" s="561"/>
      <c r="G1085" s="561"/>
      <c r="H1085" s="561"/>
      <c r="I1085" s="561"/>
      <c r="J1085" s="561"/>
      <c r="K1085" s="562"/>
      <c r="L1085" s="563"/>
      <c r="M1085" s="563"/>
      <c r="N1085" s="563"/>
      <c r="O1085" s="564"/>
      <c r="P1085" s="564"/>
    </row>
    <row r="1086" spans="1:16" ht="21.75" customHeight="1" x14ac:dyDescent="0.25">
      <c r="A1086" s="560"/>
      <c r="B1086" s="560"/>
      <c r="C1086" s="560"/>
      <c r="D1086" s="560"/>
      <c r="E1086" s="561"/>
      <c r="F1086" s="561"/>
      <c r="G1086" s="561"/>
      <c r="H1086" s="561"/>
      <c r="I1086" s="561"/>
      <c r="J1086" s="561"/>
      <c r="K1086" s="562"/>
      <c r="L1086" s="563"/>
      <c r="M1086" s="563"/>
      <c r="N1086" s="563"/>
      <c r="O1086" s="564"/>
      <c r="P1086" s="564"/>
    </row>
    <row r="1087" spans="1:16" ht="21.75" customHeight="1" x14ac:dyDescent="0.25">
      <c r="A1087" s="560"/>
      <c r="B1087" s="560"/>
      <c r="C1087" s="560"/>
      <c r="D1087" s="560"/>
      <c r="E1087" s="561"/>
      <c r="F1087" s="561"/>
      <c r="G1087" s="561"/>
      <c r="H1087" s="561"/>
      <c r="I1087" s="561"/>
      <c r="J1087" s="561"/>
      <c r="K1087" s="562"/>
      <c r="L1087" s="563"/>
      <c r="M1087" s="563"/>
      <c r="N1087" s="563"/>
      <c r="O1087" s="564"/>
      <c r="P1087" s="564"/>
    </row>
    <row r="1088" spans="1:16" ht="21.75" customHeight="1" x14ac:dyDescent="0.25">
      <c r="A1088" s="560"/>
      <c r="B1088" s="560"/>
      <c r="C1088" s="560"/>
      <c r="D1088" s="560"/>
      <c r="E1088" s="561"/>
      <c r="F1088" s="561"/>
      <c r="G1088" s="561"/>
      <c r="H1088" s="561"/>
      <c r="I1088" s="561"/>
      <c r="J1088" s="561"/>
      <c r="K1088" s="562"/>
      <c r="L1088" s="563"/>
      <c r="M1088" s="563"/>
      <c r="N1088" s="563"/>
      <c r="O1088" s="564"/>
      <c r="P1088" s="564"/>
    </row>
    <row r="1089" spans="1:16" ht="21.75" customHeight="1" x14ac:dyDescent="0.25">
      <c r="A1089" s="560"/>
      <c r="B1089" s="560"/>
      <c r="C1089" s="560"/>
      <c r="D1089" s="560"/>
      <c r="E1089" s="561"/>
      <c r="F1089" s="561"/>
      <c r="G1089" s="561"/>
      <c r="H1089" s="561"/>
      <c r="I1089" s="561"/>
      <c r="J1089" s="561"/>
      <c r="K1089" s="562"/>
      <c r="L1089" s="563"/>
      <c r="M1089" s="563"/>
      <c r="N1089" s="563"/>
      <c r="O1089" s="564"/>
      <c r="P1089" s="564"/>
    </row>
    <row r="1090" spans="1:16" ht="21.75" customHeight="1" x14ac:dyDescent="0.25">
      <c r="A1090" s="560"/>
      <c r="B1090" s="560"/>
      <c r="C1090" s="560"/>
      <c r="D1090" s="560"/>
      <c r="E1090" s="561"/>
      <c r="F1090" s="561"/>
      <c r="G1090" s="561"/>
      <c r="H1090" s="561"/>
      <c r="I1090" s="561"/>
      <c r="J1090" s="561"/>
      <c r="K1090" s="562"/>
      <c r="L1090" s="563"/>
      <c r="M1090" s="563"/>
      <c r="N1090" s="563"/>
      <c r="O1090" s="564"/>
      <c r="P1090" s="564"/>
    </row>
    <row r="1091" spans="1:16" ht="21.75" customHeight="1" x14ac:dyDescent="0.25">
      <c r="A1091" s="560"/>
      <c r="B1091" s="560"/>
      <c r="C1091" s="560"/>
      <c r="D1091" s="560"/>
      <c r="E1091" s="561"/>
      <c r="F1091" s="561"/>
      <c r="G1091" s="561"/>
      <c r="H1091" s="561"/>
      <c r="I1091" s="561"/>
      <c r="J1091" s="561"/>
      <c r="K1091" s="562"/>
      <c r="L1091" s="563"/>
      <c r="M1091" s="563"/>
      <c r="N1091" s="563"/>
      <c r="O1091" s="564"/>
      <c r="P1091" s="564"/>
    </row>
    <row r="1092" spans="1:16" ht="21.75" customHeight="1" x14ac:dyDescent="0.25">
      <c r="A1092" s="560"/>
      <c r="B1092" s="560"/>
      <c r="C1092" s="560"/>
      <c r="D1092" s="560"/>
      <c r="E1092" s="561"/>
      <c r="F1092" s="561"/>
      <c r="G1092" s="561"/>
      <c r="H1092" s="561"/>
      <c r="I1092" s="561"/>
      <c r="J1092" s="561"/>
      <c r="K1092" s="562"/>
      <c r="L1092" s="563"/>
      <c r="M1092" s="563"/>
      <c r="N1092" s="563"/>
      <c r="O1092" s="564"/>
      <c r="P1092" s="564"/>
    </row>
    <row r="1093" spans="1:16" ht="21.75" customHeight="1" x14ac:dyDescent="0.25">
      <c r="A1093" s="560"/>
      <c r="B1093" s="560"/>
      <c r="C1093" s="560"/>
      <c r="D1093" s="560"/>
      <c r="E1093" s="561"/>
      <c r="F1093" s="561"/>
      <c r="G1093" s="561"/>
      <c r="H1093" s="561"/>
      <c r="I1093" s="561"/>
      <c r="J1093" s="561"/>
      <c r="K1093" s="562"/>
      <c r="L1093" s="563"/>
      <c r="M1093" s="563"/>
      <c r="N1093" s="563"/>
      <c r="O1093" s="564"/>
      <c r="P1093" s="564"/>
    </row>
    <row r="1094" spans="1:16" ht="21.75" customHeight="1" x14ac:dyDescent="0.25">
      <c r="A1094" s="560"/>
      <c r="B1094" s="560"/>
      <c r="C1094" s="560"/>
      <c r="D1094" s="560"/>
      <c r="E1094" s="561"/>
      <c r="F1094" s="561"/>
      <c r="G1094" s="561"/>
      <c r="H1094" s="561"/>
      <c r="I1094" s="561"/>
      <c r="J1094" s="561"/>
      <c r="K1094" s="562"/>
      <c r="L1094" s="563"/>
      <c r="M1094" s="563"/>
      <c r="N1094" s="563"/>
      <c r="O1094" s="564"/>
      <c r="P1094" s="564"/>
    </row>
    <row r="1095" spans="1:16" ht="21.75" customHeight="1" x14ac:dyDescent="0.25">
      <c r="A1095" s="560"/>
      <c r="B1095" s="560"/>
      <c r="C1095" s="560"/>
      <c r="D1095" s="560"/>
      <c r="E1095" s="561"/>
      <c r="F1095" s="561"/>
      <c r="G1095" s="561"/>
      <c r="H1095" s="561"/>
      <c r="I1095" s="561"/>
      <c r="J1095" s="561"/>
      <c r="K1095" s="562"/>
      <c r="L1095" s="563"/>
      <c r="M1095" s="563"/>
      <c r="N1095" s="563"/>
      <c r="O1095" s="564"/>
      <c r="P1095" s="564"/>
    </row>
    <row r="1096" spans="1:16" ht="21.75" customHeight="1" x14ac:dyDescent="0.25">
      <c r="A1096" s="560"/>
      <c r="B1096" s="560"/>
      <c r="C1096" s="560"/>
      <c r="D1096" s="560"/>
      <c r="E1096" s="561"/>
      <c r="F1096" s="561"/>
      <c r="G1096" s="561"/>
      <c r="H1096" s="561"/>
      <c r="I1096" s="561"/>
      <c r="J1096" s="561"/>
      <c r="K1096" s="562"/>
      <c r="L1096" s="563"/>
      <c r="M1096" s="563"/>
      <c r="N1096" s="563"/>
      <c r="O1096" s="564"/>
      <c r="P1096" s="564"/>
    </row>
    <row r="1097" spans="1:16" ht="21.75" customHeight="1" x14ac:dyDescent="0.25">
      <c r="A1097" s="560"/>
      <c r="B1097" s="560"/>
      <c r="C1097" s="560"/>
      <c r="D1097" s="560"/>
      <c r="E1097" s="561"/>
      <c r="F1097" s="561"/>
      <c r="G1097" s="561"/>
      <c r="H1097" s="561"/>
      <c r="I1097" s="561"/>
      <c r="J1097" s="561"/>
      <c r="K1097" s="562"/>
      <c r="L1097" s="563"/>
      <c r="M1097" s="563"/>
      <c r="N1097" s="563"/>
      <c r="O1097" s="564"/>
      <c r="P1097" s="564"/>
    </row>
    <row r="1098" spans="1:16" ht="21.75" customHeight="1" x14ac:dyDescent="0.25">
      <c r="A1098" s="560"/>
      <c r="B1098" s="560"/>
      <c r="C1098" s="560"/>
      <c r="D1098" s="560"/>
      <c r="E1098" s="561"/>
      <c r="F1098" s="561"/>
      <c r="G1098" s="561"/>
      <c r="H1098" s="561"/>
      <c r="I1098" s="561"/>
      <c r="J1098" s="561"/>
      <c r="K1098" s="562"/>
      <c r="L1098" s="563"/>
      <c r="M1098" s="563"/>
      <c r="N1098" s="563"/>
      <c r="O1098" s="564"/>
      <c r="P1098" s="564"/>
    </row>
    <row r="1099" spans="1:16" ht="21.75" customHeight="1" x14ac:dyDescent="0.25">
      <c r="A1099" s="560"/>
      <c r="B1099" s="560"/>
      <c r="C1099" s="560"/>
      <c r="D1099" s="560"/>
      <c r="E1099" s="561"/>
      <c r="F1099" s="561"/>
      <c r="G1099" s="561"/>
      <c r="H1099" s="561"/>
      <c r="I1099" s="561"/>
      <c r="J1099" s="561"/>
      <c r="K1099" s="562"/>
      <c r="L1099" s="563"/>
      <c r="M1099" s="563"/>
      <c r="N1099" s="563"/>
      <c r="O1099" s="564"/>
      <c r="P1099" s="564"/>
    </row>
    <row r="1100" spans="1:16" ht="21.75" customHeight="1" x14ac:dyDescent="0.25">
      <c r="A1100" s="560"/>
      <c r="B1100" s="560"/>
      <c r="C1100" s="560"/>
      <c r="D1100" s="560"/>
      <c r="E1100" s="561"/>
      <c r="F1100" s="561"/>
      <c r="G1100" s="561"/>
      <c r="H1100" s="561"/>
      <c r="I1100" s="561"/>
      <c r="J1100" s="561"/>
      <c r="K1100" s="562"/>
      <c r="L1100" s="563"/>
      <c r="M1100" s="563"/>
      <c r="N1100" s="563"/>
      <c r="O1100" s="564"/>
      <c r="P1100" s="564"/>
    </row>
    <row r="1101" spans="1:16" ht="21.75" customHeight="1" x14ac:dyDescent="0.25">
      <c r="A1101" s="560"/>
      <c r="B1101" s="560"/>
      <c r="C1101" s="560"/>
      <c r="D1101" s="560"/>
      <c r="E1101" s="561"/>
      <c r="F1101" s="561"/>
      <c r="G1101" s="561"/>
      <c r="H1101" s="561"/>
      <c r="I1101" s="561"/>
      <c r="J1101" s="561"/>
      <c r="K1101" s="562"/>
      <c r="L1101" s="563"/>
      <c r="M1101" s="563"/>
      <c r="N1101" s="563"/>
      <c r="O1101" s="564"/>
      <c r="P1101" s="564"/>
    </row>
    <row r="1102" spans="1:16" ht="21.75" customHeight="1" x14ac:dyDescent="0.25">
      <c r="A1102" s="560"/>
      <c r="B1102" s="560"/>
      <c r="C1102" s="560"/>
      <c r="D1102" s="560"/>
      <c r="E1102" s="561"/>
      <c r="F1102" s="561"/>
      <c r="G1102" s="561"/>
      <c r="H1102" s="561"/>
      <c r="I1102" s="561"/>
      <c r="J1102" s="561"/>
      <c r="K1102" s="562"/>
      <c r="L1102" s="563"/>
      <c r="M1102" s="563"/>
      <c r="N1102" s="563"/>
      <c r="O1102" s="564"/>
      <c r="P1102" s="564"/>
    </row>
    <row r="1103" spans="1:16" ht="21.75" customHeight="1" x14ac:dyDescent="0.25">
      <c r="A1103" s="560"/>
      <c r="B1103" s="560"/>
      <c r="C1103" s="560"/>
      <c r="D1103" s="560"/>
      <c r="E1103" s="561"/>
      <c r="F1103" s="561"/>
      <c r="G1103" s="561"/>
      <c r="H1103" s="561"/>
      <c r="I1103" s="561"/>
      <c r="J1103" s="561"/>
      <c r="K1103" s="562"/>
      <c r="L1103" s="563"/>
      <c r="M1103" s="563"/>
      <c r="N1103" s="563"/>
      <c r="O1103" s="564"/>
      <c r="P1103" s="564"/>
    </row>
    <row r="1104" spans="1:16" ht="21.75" customHeight="1" x14ac:dyDescent="0.25">
      <c r="A1104" s="560"/>
      <c r="B1104" s="560"/>
      <c r="C1104" s="560"/>
      <c r="D1104" s="560"/>
      <c r="E1104" s="561"/>
      <c r="F1104" s="561"/>
      <c r="G1104" s="561"/>
      <c r="H1104" s="561"/>
      <c r="I1104" s="561"/>
      <c r="J1104" s="561"/>
      <c r="K1104" s="562"/>
      <c r="L1104" s="563"/>
      <c r="M1104" s="563"/>
      <c r="N1104" s="563"/>
      <c r="O1104" s="564"/>
      <c r="P1104" s="564"/>
    </row>
    <row r="1105" spans="1:16" ht="21.75" customHeight="1" x14ac:dyDescent="0.25">
      <c r="A1105" s="560"/>
      <c r="B1105" s="560"/>
      <c r="C1105" s="560"/>
      <c r="D1105" s="560"/>
      <c r="E1105" s="561"/>
      <c r="F1105" s="561"/>
      <c r="G1105" s="561"/>
      <c r="H1105" s="561"/>
      <c r="I1105" s="561"/>
      <c r="J1105" s="561"/>
      <c r="K1105" s="562"/>
      <c r="L1105" s="563"/>
      <c r="M1105" s="563"/>
      <c r="N1105" s="563"/>
      <c r="O1105" s="564"/>
      <c r="P1105" s="564"/>
    </row>
    <row r="1106" spans="1:16" ht="21.75" customHeight="1" x14ac:dyDescent="0.25">
      <c r="A1106" s="560"/>
      <c r="B1106" s="560"/>
      <c r="C1106" s="560"/>
      <c r="D1106" s="560"/>
      <c r="E1106" s="561"/>
      <c r="F1106" s="561"/>
      <c r="G1106" s="561"/>
      <c r="H1106" s="561"/>
      <c r="I1106" s="561"/>
      <c r="J1106" s="561"/>
      <c r="K1106" s="562"/>
      <c r="L1106" s="563"/>
      <c r="M1106" s="563"/>
      <c r="N1106" s="563"/>
      <c r="O1106" s="564"/>
      <c r="P1106" s="564"/>
    </row>
    <row r="1107" spans="1:16" ht="21.75" customHeight="1" x14ac:dyDescent="0.25">
      <c r="A1107" s="560"/>
      <c r="B1107" s="560"/>
      <c r="C1107" s="560"/>
      <c r="D1107" s="560"/>
      <c r="E1107" s="561"/>
      <c r="F1107" s="561"/>
      <c r="G1107" s="561"/>
      <c r="H1107" s="561"/>
      <c r="I1107" s="561"/>
      <c r="J1107" s="561"/>
      <c r="K1107" s="562"/>
      <c r="L1107" s="563"/>
      <c r="M1107" s="563"/>
      <c r="N1107" s="563"/>
      <c r="O1107" s="564"/>
      <c r="P1107" s="564"/>
    </row>
    <row r="1108" spans="1:16" ht="21.75" customHeight="1" x14ac:dyDescent="0.25">
      <c r="A1108" s="560"/>
      <c r="B1108" s="560"/>
      <c r="C1108" s="560"/>
      <c r="D1108" s="560"/>
      <c r="E1108" s="561"/>
      <c r="F1108" s="561"/>
      <c r="G1108" s="561"/>
      <c r="H1108" s="561"/>
      <c r="I1108" s="561"/>
      <c r="J1108" s="561"/>
      <c r="K1108" s="562"/>
      <c r="L1108" s="563"/>
      <c r="M1108" s="563"/>
      <c r="N1108" s="563"/>
      <c r="O1108" s="564"/>
      <c r="P1108" s="564"/>
    </row>
    <row r="1109" spans="1:16" ht="21.75" customHeight="1" x14ac:dyDescent="0.25">
      <c r="A1109" s="560"/>
      <c r="B1109" s="560"/>
      <c r="C1109" s="560"/>
      <c r="D1109" s="560"/>
      <c r="E1109" s="561"/>
      <c r="F1109" s="561"/>
      <c r="G1109" s="561"/>
      <c r="H1109" s="561"/>
      <c r="I1109" s="561"/>
      <c r="J1109" s="561"/>
      <c r="K1109" s="562"/>
      <c r="L1109" s="563"/>
      <c r="M1109" s="563"/>
      <c r="N1109" s="563"/>
      <c r="O1109" s="564"/>
      <c r="P1109" s="564"/>
    </row>
    <row r="1110" spans="1:16" ht="21.75" customHeight="1" x14ac:dyDescent="0.25">
      <c r="A1110" s="560"/>
      <c r="B1110" s="560"/>
      <c r="C1110" s="560"/>
      <c r="D1110" s="560"/>
      <c r="E1110" s="561"/>
      <c r="F1110" s="561"/>
      <c r="G1110" s="561"/>
      <c r="H1110" s="561"/>
      <c r="I1110" s="561"/>
      <c r="J1110" s="561"/>
      <c r="K1110" s="562"/>
      <c r="L1110" s="563"/>
      <c r="M1110" s="563"/>
      <c r="N1110" s="563"/>
      <c r="O1110" s="564"/>
      <c r="P1110" s="564"/>
    </row>
    <row r="1111" spans="1:16" ht="21.75" customHeight="1" x14ac:dyDescent="0.25">
      <c r="A1111" s="560"/>
      <c r="B1111" s="560"/>
      <c r="C1111" s="560"/>
      <c r="D1111" s="560"/>
      <c r="E1111" s="561"/>
      <c r="F1111" s="561"/>
      <c r="G1111" s="561"/>
      <c r="H1111" s="561"/>
      <c r="I1111" s="561"/>
      <c r="J1111" s="561"/>
      <c r="K1111" s="562"/>
      <c r="L1111" s="563"/>
      <c r="M1111" s="563"/>
      <c r="N1111" s="563"/>
      <c r="O1111" s="564"/>
      <c r="P1111" s="564"/>
    </row>
    <row r="1112" spans="1:16" ht="21.75" customHeight="1" x14ac:dyDescent="0.25">
      <c r="A1112" s="560"/>
      <c r="B1112" s="560"/>
      <c r="C1112" s="560"/>
      <c r="D1112" s="560"/>
      <c r="E1112" s="561"/>
      <c r="F1112" s="561"/>
      <c r="G1112" s="561"/>
      <c r="H1112" s="561"/>
      <c r="I1112" s="561"/>
      <c r="J1112" s="561"/>
      <c r="K1112" s="562"/>
      <c r="L1112" s="563"/>
      <c r="M1112" s="563"/>
      <c r="N1112" s="563"/>
      <c r="O1112" s="564"/>
      <c r="P1112" s="564"/>
    </row>
    <row r="1113" spans="1:16" ht="21.75" customHeight="1" x14ac:dyDescent="0.25">
      <c r="A1113" s="560"/>
      <c r="B1113" s="560"/>
      <c r="C1113" s="560"/>
      <c r="D1113" s="560"/>
      <c r="E1113" s="561"/>
      <c r="F1113" s="561"/>
      <c r="G1113" s="561"/>
      <c r="H1113" s="561"/>
      <c r="I1113" s="561"/>
      <c r="J1113" s="561"/>
      <c r="K1113" s="562"/>
      <c r="L1113" s="563"/>
      <c r="M1113" s="563"/>
      <c r="N1113" s="563"/>
      <c r="O1113" s="564"/>
      <c r="P1113" s="564"/>
    </row>
    <row r="1114" spans="1:16" ht="21.75" customHeight="1" x14ac:dyDescent="0.25">
      <c r="A1114" s="560"/>
      <c r="B1114" s="560"/>
      <c r="C1114" s="560"/>
      <c r="D1114" s="560"/>
      <c r="E1114" s="561"/>
      <c r="F1114" s="561"/>
      <c r="G1114" s="561"/>
      <c r="H1114" s="561"/>
      <c r="I1114" s="561"/>
      <c r="J1114" s="561"/>
      <c r="K1114" s="562"/>
      <c r="L1114" s="563"/>
      <c r="M1114" s="563"/>
      <c r="N1114" s="563"/>
      <c r="O1114" s="564"/>
      <c r="P1114" s="564"/>
    </row>
    <row r="1115" spans="1:16" ht="21.75" customHeight="1" x14ac:dyDescent="0.25">
      <c r="A1115" s="560"/>
      <c r="B1115" s="560"/>
      <c r="C1115" s="560"/>
      <c r="D1115" s="560"/>
      <c r="E1115" s="561"/>
      <c r="F1115" s="561"/>
      <c r="G1115" s="561"/>
      <c r="H1115" s="561"/>
      <c r="I1115" s="561"/>
      <c r="J1115" s="561"/>
      <c r="K1115" s="562"/>
      <c r="L1115" s="563"/>
      <c r="M1115" s="563"/>
      <c r="N1115" s="563"/>
      <c r="O1115" s="564"/>
      <c r="P1115" s="564"/>
    </row>
    <row r="1116" spans="1:16" ht="21.75" customHeight="1" x14ac:dyDescent="0.25">
      <c r="A1116" s="560"/>
      <c r="B1116" s="560"/>
      <c r="C1116" s="560"/>
      <c r="D1116" s="560"/>
      <c r="E1116" s="561"/>
      <c r="F1116" s="561"/>
      <c r="G1116" s="561"/>
      <c r="H1116" s="561"/>
      <c r="I1116" s="561"/>
      <c r="J1116" s="561"/>
      <c r="K1116" s="562"/>
      <c r="L1116" s="563"/>
      <c r="M1116" s="563"/>
      <c r="N1116" s="563"/>
      <c r="O1116" s="564"/>
      <c r="P1116" s="564"/>
    </row>
    <row r="1117" spans="1:16" ht="21.75" customHeight="1" x14ac:dyDescent="0.25">
      <c r="A1117" s="560"/>
      <c r="B1117" s="560"/>
      <c r="C1117" s="560"/>
      <c r="D1117" s="560"/>
      <c r="E1117" s="561"/>
      <c r="F1117" s="561"/>
      <c r="G1117" s="561"/>
      <c r="H1117" s="561"/>
      <c r="I1117" s="561"/>
      <c r="J1117" s="561"/>
      <c r="K1117" s="562"/>
      <c r="L1117" s="563"/>
      <c r="M1117" s="563"/>
      <c r="N1117" s="563"/>
      <c r="O1117" s="564"/>
      <c r="P1117" s="564"/>
    </row>
    <row r="1118" spans="1:16" ht="21.75" customHeight="1" x14ac:dyDescent="0.25">
      <c r="A1118" s="560"/>
      <c r="B1118" s="560"/>
      <c r="C1118" s="560"/>
      <c r="D1118" s="560"/>
      <c r="E1118" s="561"/>
      <c r="F1118" s="561"/>
      <c r="G1118" s="561"/>
      <c r="H1118" s="561"/>
      <c r="I1118" s="561"/>
      <c r="J1118" s="561"/>
      <c r="K1118" s="562"/>
      <c r="L1118" s="563"/>
      <c r="M1118" s="563"/>
      <c r="N1118" s="563"/>
      <c r="O1118" s="564"/>
      <c r="P1118" s="564"/>
    </row>
    <row r="1119" spans="1:16" ht="21.75" customHeight="1" x14ac:dyDescent="0.25">
      <c r="A1119" s="560"/>
      <c r="B1119" s="560"/>
      <c r="C1119" s="560"/>
      <c r="D1119" s="560"/>
      <c r="E1119" s="561"/>
      <c r="F1119" s="561"/>
      <c r="G1119" s="561"/>
      <c r="H1119" s="561"/>
      <c r="I1119" s="561"/>
      <c r="J1119" s="561"/>
      <c r="K1119" s="562"/>
      <c r="L1119" s="563"/>
      <c r="M1119" s="563"/>
      <c r="N1119" s="563"/>
      <c r="O1119" s="564"/>
      <c r="P1119" s="564"/>
    </row>
    <row r="1120" spans="1:16" ht="21.75" customHeight="1" x14ac:dyDescent="0.25">
      <c r="A1120" s="560"/>
      <c r="B1120" s="560"/>
      <c r="C1120" s="560"/>
      <c r="D1120" s="560"/>
      <c r="E1120" s="561"/>
      <c r="F1120" s="561"/>
      <c r="G1120" s="561"/>
      <c r="H1120" s="561"/>
      <c r="I1120" s="561"/>
      <c r="J1120" s="561"/>
      <c r="K1120" s="562"/>
      <c r="L1120" s="563"/>
      <c r="M1120" s="563"/>
      <c r="N1120" s="563"/>
      <c r="O1120" s="564"/>
      <c r="P1120" s="564"/>
    </row>
    <row r="1121" spans="1:16" ht="21.75" customHeight="1" x14ac:dyDescent="0.25">
      <c r="A1121" s="560"/>
      <c r="B1121" s="560"/>
      <c r="C1121" s="560"/>
      <c r="D1121" s="560"/>
      <c r="E1121" s="561"/>
      <c r="F1121" s="561"/>
      <c r="G1121" s="561"/>
      <c r="H1121" s="561"/>
      <c r="I1121" s="561"/>
      <c r="J1121" s="561"/>
      <c r="K1121" s="562"/>
      <c r="L1121" s="563"/>
      <c r="M1121" s="563"/>
      <c r="N1121" s="563"/>
      <c r="O1121" s="564"/>
      <c r="P1121" s="564"/>
    </row>
    <row r="1122" spans="1:16" ht="21.75" customHeight="1" x14ac:dyDescent="0.25">
      <c r="A1122" s="560"/>
      <c r="B1122" s="560"/>
      <c r="C1122" s="560"/>
      <c r="D1122" s="560"/>
      <c r="E1122" s="561"/>
      <c r="F1122" s="561"/>
      <c r="G1122" s="561"/>
      <c r="H1122" s="561"/>
      <c r="I1122" s="561"/>
      <c r="J1122" s="561"/>
      <c r="K1122" s="562"/>
      <c r="L1122" s="563"/>
      <c r="M1122" s="563"/>
      <c r="N1122" s="563"/>
      <c r="O1122" s="564"/>
      <c r="P1122" s="564"/>
    </row>
    <row r="1123" spans="1:16" ht="21.75" customHeight="1" x14ac:dyDescent="0.25">
      <c r="A1123" s="560"/>
      <c r="B1123" s="560"/>
      <c r="C1123" s="560"/>
      <c r="D1123" s="560"/>
      <c r="E1123" s="561"/>
      <c r="F1123" s="561"/>
      <c r="G1123" s="561"/>
      <c r="H1123" s="561"/>
      <c r="I1123" s="561"/>
      <c r="J1123" s="561"/>
      <c r="K1123" s="562"/>
      <c r="L1123" s="563"/>
      <c r="M1123" s="563"/>
      <c r="N1123" s="563"/>
      <c r="O1123" s="564"/>
      <c r="P1123" s="564"/>
    </row>
    <row r="1124" spans="1:16" ht="21.75" customHeight="1" x14ac:dyDescent="0.25">
      <c r="A1124" s="560"/>
      <c r="B1124" s="560"/>
      <c r="C1124" s="560"/>
      <c r="D1124" s="560"/>
      <c r="E1124" s="561"/>
      <c r="F1124" s="561"/>
      <c r="G1124" s="561"/>
      <c r="H1124" s="561"/>
      <c r="I1124" s="561"/>
      <c r="J1124" s="561"/>
      <c r="K1124" s="562"/>
      <c r="L1124" s="563"/>
      <c r="M1124" s="563"/>
      <c r="N1124" s="563"/>
      <c r="O1124" s="564"/>
      <c r="P1124" s="564"/>
    </row>
    <row r="1125" spans="1:16" ht="21.75" customHeight="1" x14ac:dyDescent="0.25">
      <c r="A1125" s="560"/>
      <c r="B1125" s="560"/>
      <c r="C1125" s="560"/>
      <c r="D1125" s="560"/>
      <c r="E1125" s="561"/>
      <c r="F1125" s="561"/>
      <c r="G1125" s="561"/>
      <c r="H1125" s="561"/>
      <c r="I1125" s="561"/>
      <c r="J1125" s="561"/>
      <c r="K1125" s="562"/>
      <c r="L1125" s="563"/>
      <c r="M1125" s="563"/>
      <c r="N1125" s="563"/>
      <c r="O1125" s="564"/>
      <c r="P1125" s="564"/>
    </row>
    <row r="1126" spans="1:16" ht="21.75" customHeight="1" x14ac:dyDescent="0.25">
      <c r="A1126" s="560"/>
      <c r="B1126" s="560"/>
      <c r="C1126" s="560"/>
      <c r="D1126" s="560"/>
      <c r="E1126" s="561"/>
      <c r="F1126" s="561"/>
      <c r="G1126" s="561"/>
      <c r="H1126" s="561"/>
      <c r="I1126" s="561"/>
      <c r="J1126" s="561"/>
      <c r="K1126" s="562"/>
      <c r="L1126" s="563"/>
      <c r="M1126" s="563"/>
      <c r="N1126" s="563"/>
      <c r="O1126" s="564"/>
      <c r="P1126" s="564"/>
    </row>
    <row r="1127" spans="1:16" ht="21.75" customHeight="1" x14ac:dyDescent="0.25">
      <c r="A1127" s="560"/>
      <c r="B1127" s="560"/>
      <c r="C1127" s="560"/>
      <c r="D1127" s="560"/>
      <c r="E1127" s="561"/>
      <c r="F1127" s="561"/>
      <c r="G1127" s="561"/>
      <c r="H1127" s="561"/>
      <c r="I1127" s="561"/>
      <c r="J1127" s="561"/>
      <c r="K1127" s="562"/>
      <c r="L1127" s="563"/>
      <c r="M1127" s="563"/>
      <c r="N1127" s="563"/>
      <c r="O1127" s="564"/>
      <c r="P1127" s="564"/>
    </row>
    <row r="1128" spans="1:16" ht="21.75" customHeight="1" x14ac:dyDescent="0.25">
      <c r="A1128" s="560"/>
      <c r="B1128" s="560"/>
      <c r="C1128" s="560"/>
      <c r="D1128" s="560"/>
      <c r="E1128" s="561"/>
      <c r="F1128" s="561"/>
      <c r="G1128" s="561"/>
      <c r="H1128" s="561"/>
      <c r="I1128" s="561"/>
      <c r="J1128" s="561"/>
      <c r="K1128" s="562"/>
      <c r="L1128" s="563"/>
      <c r="M1128" s="563"/>
      <c r="N1128" s="563"/>
      <c r="O1128" s="564"/>
      <c r="P1128" s="564"/>
    </row>
    <row r="1129" spans="1:16" ht="21.75" customHeight="1" x14ac:dyDescent="0.25">
      <c r="A1129" s="560"/>
      <c r="B1129" s="560"/>
      <c r="C1129" s="560"/>
      <c r="D1129" s="560"/>
      <c r="E1129" s="561"/>
      <c r="F1129" s="561"/>
      <c r="G1129" s="561"/>
      <c r="H1129" s="561"/>
      <c r="I1129" s="561"/>
      <c r="J1129" s="561"/>
      <c r="K1129" s="562"/>
      <c r="L1129" s="563"/>
      <c r="M1129" s="563"/>
      <c r="N1129" s="563"/>
      <c r="O1129" s="564"/>
      <c r="P1129" s="564"/>
    </row>
    <row r="1130" spans="1:16" ht="21.75" customHeight="1" x14ac:dyDescent="0.25">
      <c r="A1130" s="560"/>
      <c r="B1130" s="560"/>
      <c r="C1130" s="560"/>
      <c r="D1130" s="560"/>
      <c r="E1130" s="561"/>
      <c r="F1130" s="561"/>
      <c r="G1130" s="561"/>
      <c r="H1130" s="561"/>
      <c r="I1130" s="561"/>
      <c r="J1130" s="561"/>
      <c r="K1130" s="562"/>
      <c r="L1130" s="563"/>
      <c r="M1130" s="563"/>
      <c r="N1130" s="563"/>
      <c r="O1130" s="564"/>
      <c r="P1130" s="564"/>
    </row>
    <row r="1131" spans="1:16" ht="21.75" customHeight="1" x14ac:dyDescent="0.25">
      <c r="A1131" s="560"/>
      <c r="B1131" s="560"/>
      <c r="C1131" s="560"/>
      <c r="D1131" s="560"/>
      <c r="E1131" s="561"/>
      <c r="F1131" s="561"/>
      <c r="G1131" s="561"/>
      <c r="H1131" s="561"/>
      <c r="I1131" s="561"/>
      <c r="J1131" s="561"/>
      <c r="K1131" s="562"/>
      <c r="L1131" s="563"/>
      <c r="M1131" s="563"/>
      <c r="N1131" s="563"/>
      <c r="O1131" s="564"/>
      <c r="P1131" s="564"/>
    </row>
    <row r="1132" spans="1:16" ht="21.75" customHeight="1" x14ac:dyDescent="0.25">
      <c r="A1132" s="560"/>
      <c r="B1132" s="560"/>
      <c r="C1132" s="560"/>
      <c r="D1132" s="560"/>
      <c r="E1132" s="561"/>
      <c r="F1132" s="561"/>
      <c r="G1132" s="561"/>
      <c r="H1132" s="561"/>
      <c r="I1132" s="561"/>
      <c r="J1132" s="561"/>
      <c r="K1132" s="562"/>
      <c r="L1132" s="563"/>
      <c r="M1132" s="563"/>
      <c r="N1132" s="563"/>
      <c r="O1132" s="564"/>
      <c r="P1132" s="564"/>
    </row>
    <row r="1133" spans="1:16" ht="21.75" customHeight="1" x14ac:dyDescent="0.25">
      <c r="A1133" s="560"/>
      <c r="B1133" s="560"/>
      <c r="C1133" s="560"/>
      <c r="D1133" s="560"/>
      <c r="E1133" s="561"/>
      <c r="F1133" s="561"/>
      <c r="G1133" s="561"/>
      <c r="H1133" s="561"/>
      <c r="I1133" s="561"/>
      <c r="J1133" s="561"/>
      <c r="K1133" s="562"/>
      <c r="L1133" s="563"/>
      <c r="M1133" s="563"/>
      <c r="N1133" s="563"/>
      <c r="O1133" s="564"/>
      <c r="P1133" s="564"/>
    </row>
    <row r="1134" spans="1:16" ht="21.75" customHeight="1" x14ac:dyDescent="0.25">
      <c r="A1134" s="560"/>
      <c r="B1134" s="560"/>
      <c r="C1134" s="560"/>
      <c r="D1134" s="560"/>
      <c r="E1134" s="561"/>
      <c r="F1134" s="561"/>
      <c r="G1134" s="561"/>
      <c r="H1134" s="561"/>
      <c r="I1134" s="561"/>
      <c r="J1134" s="561"/>
      <c r="K1134" s="562"/>
      <c r="L1134" s="563"/>
      <c r="M1134" s="563"/>
      <c r="N1134" s="563"/>
      <c r="O1134" s="564"/>
      <c r="P1134" s="564"/>
    </row>
    <row r="1135" spans="1:16" ht="21.75" customHeight="1" x14ac:dyDescent="0.25">
      <c r="A1135" s="560"/>
      <c r="B1135" s="560"/>
      <c r="C1135" s="560"/>
      <c r="D1135" s="560"/>
      <c r="E1135" s="561"/>
      <c r="F1135" s="561"/>
      <c r="G1135" s="561"/>
      <c r="H1135" s="561"/>
      <c r="I1135" s="561"/>
      <c r="J1135" s="561"/>
      <c r="K1135" s="562"/>
      <c r="L1135" s="563"/>
      <c r="M1135" s="563"/>
      <c r="N1135" s="563"/>
      <c r="O1135" s="564"/>
      <c r="P1135" s="564"/>
    </row>
    <row r="1136" spans="1:16" ht="21.75" customHeight="1" x14ac:dyDescent="0.25">
      <c r="A1136" s="560"/>
      <c r="B1136" s="560"/>
      <c r="C1136" s="560"/>
      <c r="D1136" s="560"/>
      <c r="E1136" s="561"/>
      <c r="F1136" s="561"/>
      <c r="G1136" s="561"/>
      <c r="H1136" s="561"/>
      <c r="I1136" s="561"/>
      <c r="J1136" s="561"/>
      <c r="K1136" s="562"/>
      <c r="L1136" s="563"/>
      <c r="M1136" s="563"/>
      <c r="N1136" s="563"/>
      <c r="O1136" s="564"/>
      <c r="P1136" s="564"/>
    </row>
    <row r="1137" spans="1:16" ht="21.75" customHeight="1" x14ac:dyDescent="0.25">
      <c r="A1137" s="560"/>
      <c r="B1137" s="560"/>
      <c r="C1137" s="560"/>
      <c r="D1137" s="560"/>
      <c r="E1137" s="561"/>
      <c r="F1137" s="561"/>
      <c r="G1137" s="561"/>
      <c r="H1137" s="561"/>
      <c r="I1137" s="561"/>
      <c r="J1137" s="561"/>
      <c r="K1137" s="562"/>
      <c r="L1137" s="563"/>
      <c r="M1137" s="563"/>
      <c r="N1137" s="563"/>
      <c r="O1137" s="564"/>
      <c r="P1137" s="564"/>
    </row>
    <row r="1138" spans="1:16" ht="21.75" customHeight="1" x14ac:dyDescent="0.25">
      <c r="A1138" s="560"/>
      <c r="B1138" s="560"/>
      <c r="C1138" s="560"/>
      <c r="D1138" s="560"/>
      <c r="E1138" s="561"/>
      <c r="F1138" s="561"/>
      <c r="G1138" s="561"/>
      <c r="H1138" s="561"/>
      <c r="I1138" s="561"/>
      <c r="J1138" s="561"/>
      <c r="K1138" s="562"/>
      <c r="L1138" s="563"/>
      <c r="M1138" s="563"/>
      <c r="N1138" s="563"/>
      <c r="O1138" s="564"/>
      <c r="P1138" s="564"/>
    </row>
    <row r="1139" spans="1:16" ht="21.75" customHeight="1" x14ac:dyDescent="0.25">
      <c r="A1139" s="560"/>
      <c r="B1139" s="560"/>
      <c r="C1139" s="560"/>
      <c r="D1139" s="560"/>
      <c r="E1139" s="561"/>
      <c r="F1139" s="561"/>
      <c r="G1139" s="561"/>
      <c r="H1139" s="561"/>
      <c r="I1139" s="561"/>
      <c r="J1139" s="561"/>
      <c r="K1139" s="562"/>
      <c r="L1139" s="563"/>
      <c r="M1139" s="563"/>
      <c r="N1139" s="563"/>
      <c r="O1139" s="564"/>
      <c r="P1139" s="564"/>
    </row>
    <row r="1140" spans="1:16" ht="21.75" customHeight="1" x14ac:dyDescent="0.25">
      <c r="A1140" s="560"/>
      <c r="B1140" s="560"/>
      <c r="C1140" s="560"/>
      <c r="D1140" s="560"/>
      <c r="E1140" s="561"/>
      <c r="F1140" s="561"/>
      <c r="G1140" s="561"/>
      <c r="H1140" s="561"/>
      <c r="I1140" s="561"/>
      <c r="J1140" s="561"/>
      <c r="K1140" s="562"/>
      <c r="L1140" s="563"/>
      <c r="M1140" s="563"/>
      <c r="N1140" s="563"/>
      <c r="O1140" s="564"/>
      <c r="P1140" s="564"/>
    </row>
    <row r="1141" spans="1:16" ht="21.75" customHeight="1" x14ac:dyDescent="0.25">
      <c r="A1141" s="560"/>
      <c r="B1141" s="560"/>
      <c r="C1141" s="560"/>
      <c r="D1141" s="560"/>
      <c r="E1141" s="561"/>
      <c r="F1141" s="561"/>
      <c r="G1141" s="561"/>
      <c r="H1141" s="561"/>
      <c r="I1141" s="561"/>
      <c r="J1141" s="561"/>
      <c r="K1141" s="562"/>
      <c r="L1141" s="563"/>
      <c r="M1141" s="563"/>
      <c r="N1141" s="563"/>
      <c r="O1141" s="564"/>
      <c r="P1141" s="564"/>
    </row>
    <row r="1142" spans="1:16" ht="21.75" customHeight="1" x14ac:dyDescent="0.25">
      <c r="A1142" s="560"/>
      <c r="B1142" s="560"/>
      <c r="C1142" s="560"/>
      <c r="D1142" s="560"/>
      <c r="E1142" s="561"/>
      <c r="F1142" s="561"/>
      <c r="G1142" s="561"/>
      <c r="H1142" s="561"/>
      <c r="I1142" s="561"/>
      <c r="J1142" s="561"/>
      <c r="K1142" s="562"/>
      <c r="L1142" s="563"/>
      <c r="M1142" s="563"/>
      <c r="N1142" s="563"/>
      <c r="O1142" s="564"/>
      <c r="P1142" s="564"/>
    </row>
    <row r="1143" spans="1:16" ht="21.75" customHeight="1" x14ac:dyDescent="0.25">
      <c r="A1143" s="560"/>
      <c r="B1143" s="560"/>
      <c r="C1143" s="560"/>
      <c r="D1143" s="560"/>
      <c r="E1143" s="561"/>
      <c r="F1143" s="561"/>
      <c r="G1143" s="561"/>
      <c r="H1143" s="561"/>
      <c r="I1143" s="561"/>
      <c r="J1143" s="561"/>
      <c r="K1143" s="562"/>
      <c r="L1143" s="563"/>
      <c r="M1143" s="563"/>
      <c r="N1143" s="563"/>
      <c r="O1143" s="564"/>
      <c r="P1143" s="564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24" max="16383" man="1"/>
    <brk id="596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2022-07-20T07:31:34Z</cp:lastPrinted>
  <dcterms:modified xsi:type="dcterms:W3CDTF">2022-07-20T07:31:53Z</dcterms:modified>
</cp:coreProperties>
</file>